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balancete" sheetId="1" r:id="rId1"/>
    <sheet name="Secretaria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Bar" sheetId="9" r:id="rId9"/>
  </sheets>
  <definedNames>
    <definedName name="_xlnm.Print_Area" localSheetId="3">'2013'!$A$1:$D$30</definedName>
    <definedName name="_xlnm.Print_Area" localSheetId="4">'2014'!$A$1:$D$30</definedName>
    <definedName name="_xlnm.Print_Area" localSheetId="5">'2015'!$A$1:$D$42</definedName>
    <definedName name="_xlnm.Print_Area" localSheetId="6">'2016'!$A$1:$D$42</definedName>
    <definedName name="_xlnm.Print_Area" localSheetId="7">'2017'!$A$1:$D$42</definedName>
    <definedName name="_xlnm.Print_Area" localSheetId="0">'balancete'!$A$1:$N$208</definedName>
    <definedName name="_xlnm.Print_Area" localSheetId="8">'Bar'!$A$1:$I$14</definedName>
    <definedName name="_xlnm.Print_Area" localSheetId="1">'Secretaria'!$A$1:$F$21</definedName>
    <definedName name="_xlnm.Print_Titles" localSheetId="0">'balancete'!$1:$4</definedName>
  </definedNames>
  <calcPr fullCalcOnLoad="1"/>
</workbook>
</file>

<file path=xl/sharedStrings.xml><?xml version="1.0" encoding="utf-8"?>
<sst xmlns="http://schemas.openxmlformats.org/spreadsheetml/2006/main" count="884" uniqueCount="573">
  <si>
    <t>Paróquia de Nossa Senhora da Hora</t>
  </si>
  <si>
    <t>1</t>
  </si>
  <si>
    <t>RECEITAS DA PARÓQUIA</t>
  </si>
  <si>
    <t xml:space="preserve">  101</t>
  </si>
  <si>
    <t xml:space="preserve">  Ofertórios Ordinários</t>
  </si>
  <si>
    <t xml:space="preserve">      10101</t>
  </si>
  <si>
    <t xml:space="preserve">      Ofertórios Dominicais</t>
  </si>
  <si>
    <t xml:space="preserve">      10102</t>
  </si>
  <si>
    <t xml:space="preserve">      Ofertórios Semanais</t>
  </si>
  <si>
    <t xml:space="preserve">      10103</t>
  </si>
  <si>
    <t xml:space="preserve">      Ofertórios Dias Festivos</t>
  </si>
  <si>
    <t xml:space="preserve">      10104</t>
  </si>
  <si>
    <t xml:space="preserve">      sabado</t>
  </si>
  <si>
    <t xml:space="preserve">          1010401</t>
  </si>
  <si>
    <t xml:space="preserve">          11</t>
  </si>
  <si>
    <t xml:space="preserve">  102</t>
  </si>
  <si>
    <t xml:space="preserve">  Sacramentos e Sacramentais</t>
  </si>
  <si>
    <t xml:space="preserve">      10201</t>
  </si>
  <si>
    <t xml:space="preserve">      Baptismo</t>
  </si>
  <si>
    <t xml:space="preserve">      10202</t>
  </si>
  <si>
    <t xml:space="preserve">      Matrimónio</t>
  </si>
  <si>
    <t xml:space="preserve">      10203</t>
  </si>
  <si>
    <t xml:space="preserve">      Exéquias</t>
  </si>
  <si>
    <t xml:space="preserve">      10204</t>
  </si>
  <si>
    <t xml:space="preserve">      Bodas Matrimoniais</t>
  </si>
  <si>
    <t xml:space="preserve">      10299</t>
  </si>
  <si>
    <t xml:space="preserve">      Outros</t>
  </si>
  <si>
    <t xml:space="preserve">  103</t>
  </si>
  <si>
    <t xml:space="preserve">  Contributo Paroquial</t>
  </si>
  <si>
    <t xml:space="preserve">      10301</t>
  </si>
  <si>
    <t xml:space="preserve">      Côngrua Paroquial</t>
  </si>
  <si>
    <t xml:space="preserve">      10302</t>
  </si>
  <si>
    <t xml:space="preserve">      Folar Pascal</t>
  </si>
  <si>
    <t xml:space="preserve">      10399</t>
  </si>
  <si>
    <t xml:space="preserve">      Outras Ofertas</t>
  </si>
  <si>
    <t xml:space="preserve">  104</t>
  </si>
  <si>
    <t xml:space="preserve">  Esmolas</t>
  </si>
  <si>
    <t xml:space="preserve">      10401</t>
  </si>
  <si>
    <t xml:space="preserve">      Caixas</t>
  </si>
  <si>
    <t xml:space="preserve">          1040101</t>
  </si>
  <si>
    <t xml:space="preserve">          Cx Santo António</t>
  </si>
  <si>
    <t xml:space="preserve">          1040102</t>
  </si>
  <si>
    <t xml:space="preserve">          1040103</t>
  </si>
  <si>
    <t xml:space="preserve">          Igreja Antiga</t>
  </si>
  <si>
    <t xml:space="preserve">          1040104</t>
  </si>
  <si>
    <t xml:space="preserve">          Cx Nossa Sra. da Hora</t>
  </si>
  <si>
    <t xml:space="preserve">      10402</t>
  </si>
  <si>
    <t xml:space="preserve">      Lampadários</t>
  </si>
  <si>
    <t xml:space="preserve">  105</t>
  </si>
  <si>
    <t xml:space="preserve">  Estipêndios</t>
  </si>
  <si>
    <t xml:space="preserve">      10501</t>
  </si>
  <si>
    <t xml:space="preserve">      Intenções Individuais</t>
  </si>
  <si>
    <t xml:space="preserve">      10502</t>
  </si>
  <si>
    <t xml:space="preserve">      Intenções Colectivas</t>
  </si>
  <si>
    <t xml:space="preserve">      10503</t>
  </si>
  <si>
    <t xml:space="preserve">      Trintários Gregorianos</t>
  </si>
  <si>
    <t xml:space="preserve">  106</t>
  </si>
  <si>
    <t xml:space="preserve">  Ofertórios Nacionais e Diocesanos</t>
  </si>
  <si>
    <t xml:space="preserve">      10601</t>
  </si>
  <si>
    <t xml:space="preserve">      Contributo Penitencial</t>
  </si>
  <si>
    <t xml:space="preserve">      10602</t>
  </si>
  <si>
    <t xml:space="preserve">      Universidade Católica</t>
  </si>
  <si>
    <t xml:space="preserve">      10603</t>
  </si>
  <si>
    <t xml:space="preserve">      Cáritas Portuguesa</t>
  </si>
  <si>
    <t xml:space="preserve">      10604</t>
  </si>
  <si>
    <t xml:space="preserve">      Lugares Santos de Jerusalém</t>
  </si>
  <si>
    <t xml:space="preserve">      10605</t>
  </si>
  <si>
    <t xml:space="preserve">      Pastoral das Vocações</t>
  </si>
  <si>
    <t xml:space="preserve">      10606</t>
  </si>
  <si>
    <t xml:space="preserve">      Meios de Comunicação Social</t>
  </si>
  <si>
    <t xml:space="preserve">      10607</t>
  </si>
  <si>
    <t xml:space="preserve">      Acção Pastoral Diocesana</t>
  </si>
  <si>
    <t xml:space="preserve">      10608</t>
  </si>
  <si>
    <t xml:space="preserve">      Cadeira de São Pedro</t>
  </si>
  <si>
    <t xml:space="preserve">      10609</t>
  </si>
  <si>
    <t xml:space="preserve">      Pastoral das Migrações</t>
  </si>
  <si>
    <t xml:space="preserve">      10610</t>
  </si>
  <si>
    <t xml:space="preserve">      Missões</t>
  </si>
  <si>
    <t xml:space="preserve">      10611</t>
  </si>
  <si>
    <t xml:space="preserve">      Seminários Diocesanos</t>
  </si>
  <si>
    <t xml:space="preserve">      10612</t>
  </si>
  <si>
    <t xml:space="preserve">      Fundo Diocesano do Clero</t>
  </si>
  <si>
    <t xml:space="preserve">      10613</t>
  </si>
  <si>
    <t xml:space="preserve">      Apostolado dos Leigos</t>
  </si>
  <si>
    <t xml:space="preserve">      10614</t>
  </si>
  <si>
    <t xml:space="preserve">      Ofertórios Ocasionais</t>
  </si>
  <si>
    <t xml:space="preserve">  107</t>
  </si>
  <si>
    <t xml:space="preserve">  Secretaria Paroquial</t>
  </si>
  <si>
    <t xml:space="preserve">      10701</t>
  </si>
  <si>
    <t xml:space="preserve">      Certidões e Documentos</t>
  </si>
  <si>
    <t xml:space="preserve">      10702</t>
  </si>
  <si>
    <t xml:space="preserve">      Processos de Baptismo</t>
  </si>
  <si>
    <t xml:space="preserve">      10703</t>
  </si>
  <si>
    <t xml:space="preserve">      Processos Matrimoniais</t>
  </si>
  <si>
    <t xml:space="preserve">      10799</t>
  </si>
  <si>
    <t xml:space="preserve">  108</t>
  </si>
  <si>
    <t xml:space="preserve">  Receita Extraordinária</t>
  </si>
  <si>
    <t xml:space="preserve">      10802</t>
  </si>
  <si>
    <t xml:space="preserve">      Ofertas p/ Obras na Residência Paroquial</t>
  </si>
  <si>
    <t xml:space="preserve">      10803</t>
  </si>
  <si>
    <t xml:space="preserve">      Ofertas p/ Obras do Centro Paroquial</t>
  </si>
  <si>
    <t xml:space="preserve">      10804</t>
  </si>
  <si>
    <t xml:space="preserve">      Subsídios</t>
  </si>
  <si>
    <t xml:space="preserve">      10805</t>
  </si>
  <si>
    <t xml:space="preserve">      Devolução de IVA</t>
  </si>
  <si>
    <t xml:space="preserve">      10806</t>
  </si>
  <si>
    <t xml:space="preserve">      Outras Devoluções</t>
  </si>
  <si>
    <t xml:space="preserve">  109</t>
  </si>
  <si>
    <t xml:space="preserve">  Receitas Diversas</t>
  </si>
  <si>
    <t xml:space="preserve">      10901</t>
  </si>
  <si>
    <t xml:space="preserve">      Flores</t>
  </si>
  <si>
    <t xml:space="preserve">      10902</t>
  </si>
  <si>
    <t xml:space="preserve">      Coro</t>
  </si>
  <si>
    <t xml:space="preserve">      10903</t>
  </si>
  <si>
    <t xml:space="preserve">      Festas e convívios</t>
  </si>
  <si>
    <t xml:space="preserve">      10999</t>
  </si>
  <si>
    <t xml:space="preserve">  110</t>
  </si>
  <si>
    <t xml:space="preserve">  Rendas e Explorações</t>
  </si>
  <si>
    <t xml:space="preserve">      11001</t>
  </si>
  <si>
    <t xml:space="preserve">      Bíblias, Catecismos e Livros</t>
  </si>
  <si>
    <t xml:space="preserve">      11002</t>
  </si>
  <si>
    <t xml:space="preserve">      Velas e Artigos Religiosos</t>
  </si>
  <si>
    <t xml:space="preserve">      11003</t>
  </si>
  <si>
    <t xml:space="preserve">      Rendas de Património Imóvel</t>
  </si>
  <si>
    <t xml:space="preserve">      11004</t>
  </si>
  <si>
    <t xml:space="preserve">      Rendas de Convívios e Festas</t>
  </si>
  <si>
    <t xml:space="preserve">      11005</t>
  </si>
  <si>
    <t xml:space="preserve">      Publicações Paroquiais</t>
  </si>
  <si>
    <t xml:space="preserve">      11006</t>
  </si>
  <si>
    <t xml:space="preserve">      11007</t>
  </si>
  <si>
    <t xml:space="preserve">      11008</t>
  </si>
  <si>
    <t xml:space="preserve">      Venda de Natal</t>
  </si>
  <si>
    <t xml:space="preserve">      11009</t>
  </si>
  <si>
    <t xml:space="preserve">      Voz Portucalense</t>
  </si>
  <si>
    <t xml:space="preserve">      11099</t>
  </si>
  <si>
    <t xml:space="preserve">      Outras Rendas</t>
  </si>
  <si>
    <t xml:space="preserve">  111</t>
  </si>
  <si>
    <t xml:space="preserve">  Juros</t>
  </si>
  <si>
    <t xml:space="preserve">  112</t>
  </si>
  <si>
    <t xml:space="preserve">  Empréstimos e Hipotecas</t>
  </si>
  <si>
    <t xml:space="preserve">  198</t>
  </si>
  <si>
    <t xml:space="preserve">  Transferência de saldos</t>
  </si>
  <si>
    <t xml:space="preserve">  199</t>
  </si>
  <si>
    <t xml:space="preserve">  Saldo do ano anterior</t>
  </si>
  <si>
    <t>2</t>
  </si>
  <si>
    <t>DESPESAS DA PARÓQUIA</t>
  </si>
  <si>
    <t xml:space="preserve">  201</t>
  </si>
  <si>
    <t xml:space="preserve">  Culto Divino</t>
  </si>
  <si>
    <t xml:space="preserve">      20101</t>
  </si>
  <si>
    <t xml:space="preserve">      Hóstias</t>
  </si>
  <si>
    <t xml:space="preserve">      20102</t>
  </si>
  <si>
    <t xml:space="preserve">      Vinho</t>
  </si>
  <si>
    <t xml:space="preserve">      20103</t>
  </si>
  <si>
    <t xml:space="preserve">      Paramentos e Alfaias</t>
  </si>
  <si>
    <t xml:space="preserve">      20104</t>
  </si>
  <si>
    <t xml:space="preserve">      Cêra</t>
  </si>
  <si>
    <t xml:space="preserve">      20105</t>
  </si>
  <si>
    <t xml:space="preserve">      Pregações</t>
  </si>
  <si>
    <t xml:space="preserve">      20106</t>
  </si>
  <si>
    <t xml:space="preserve">      "Pro Labore"</t>
  </si>
  <si>
    <t xml:space="preserve">      20107</t>
  </si>
  <si>
    <t xml:space="preserve">      Estipêndios Pagos</t>
  </si>
  <si>
    <t xml:space="preserve">      20108</t>
  </si>
  <si>
    <t xml:space="preserve">      Decoração da Igreja</t>
  </si>
  <si>
    <t xml:space="preserve">      20109</t>
  </si>
  <si>
    <t xml:space="preserve">  202</t>
  </si>
  <si>
    <t xml:space="preserve">  Formação</t>
  </si>
  <si>
    <t xml:space="preserve">      20201</t>
  </si>
  <si>
    <t xml:space="preserve">      Retiros e Cursos</t>
  </si>
  <si>
    <t xml:space="preserve">      20202</t>
  </si>
  <si>
    <t xml:space="preserve">      Actividades Culturais e Convívios</t>
  </si>
  <si>
    <t xml:space="preserve">      20203</t>
  </si>
  <si>
    <t xml:space="preserve">      Publicações</t>
  </si>
  <si>
    <t xml:space="preserve">      20204</t>
  </si>
  <si>
    <t xml:space="preserve">      Biblioteca</t>
  </si>
  <si>
    <t xml:space="preserve">      20205</t>
  </si>
  <si>
    <t xml:space="preserve">  203</t>
  </si>
  <si>
    <t xml:space="preserve">  Evangelização</t>
  </si>
  <si>
    <t xml:space="preserve">      20301</t>
  </si>
  <si>
    <t xml:space="preserve">      Catecismos e Afins</t>
  </si>
  <si>
    <t xml:space="preserve">      20302</t>
  </si>
  <si>
    <t xml:space="preserve">      Pastoral da Família</t>
  </si>
  <si>
    <t xml:space="preserve">      20303</t>
  </si>
  <si>
    <t xml:space="preserve">      Pastoral dos Doentes e Idosos</t>
  </si>
  <si>
    <t xml:space="preserve">      20304</t>
  </si>
  <si>
    <t xml:space="preserve">      Actividades Catequéticas</t>
  </si>
  <si>
    <t xml:space="preserve">  204</t>
  </si>
  <si>
    <t xml:space="preserve">  Despesas com Pessoal</t>
  </si>
  <si>
    <t xml:space="preserve">      20401</t>
  </si>
  <si>
    <t xml:space="preserve">      Remunerações</t>
  </si>
  <si>
    <t xml:space="preserve">          2040101</t>
  </si>
  <si>
    <t xml:space="preserve">          Maria Emília da Costa Moreira Espinha</t>
  </si>
  <si>
    <t xml:space="preserve">          2040102</t>
  </si>
  <si>
    <t xml:space="preserve">          Maria Augusta de Abreu Silva</t>
  </si>
  <si>
    <t xml:space="preserve">          2040103</t>
  </si>
  <si>
    <t xml:space="preserve">          Maria da Conceição Ferreira Lopes</t>
  </si>
  <si>
    <t xml:space="preserve">          2040104</t>
  </si>
  <si>
    <t xml:space="preserve">          Amaro Gonçalo Ferreira Lopes</t>
  </si>
  <si>
    <t xml:space="preserve">          2040105</t>
  </si>
  <si>
    <t xml:space="preserve">          José Manuel Marques da Silva</t>
  </si>
  <si>
    <t xml:space="preserve">          2040106</t>
  </si>
  <si>
    <t xml:space="preserve">          Maria José Pontes Moreira</t>
  </si>
  <si>
    <t xml:space="preserve">          2040107</t>
  </si>
  <si>
    <t xml:space="preserve">          António Sergio Condeço Antunes</t>
  </si>
  <si>
    <t xml:space="preserve">      20402</t>
  </si>
  <si>
    <t xml:space="preserve">      Segurança Social</t>
  </si>
  <si>
    <t xml:space="preserve">      20403</t>
  </si>
  <si>
    <t xml:space="preserve">      Seguros</t>
  </si>
  <si>
    <t xml:space="preserve">      20404</t>
  </si>
  <si>
    <t xml:space="preserve">      IRS</t>
  </si>
  <si>
    <t xml:space="preserve">      20405</t>
  </si>
  <si>
    <t xml:space="preserve">      Subsídio de Alimentação</t>
  </si>
  <si>
    <t xml:space="preserve">      20406</t>
  </si>
  <si>
    <t xml:space="preserve">      Despesas de Deslocação</t>
  </si>
  <si>
    <t xml:space="preserve">      20407</t>
  </si>
  <si>
    <t xml:space="preserve">      Gratificações para Voluntariado</t>
  </si>
  <si>
    <t xml:space="preserve">      20408</t>
  </si>
  <si>
    <t xml:space="preserve">      Outras despesas c/ pessoal</t>
  </si>
  <si>
    <t xml:space="preserve">      20409</t>
  </si>
  <si>
    <t xml:space="preserve">      Gratificações Suplementares</t>
  </si>
  <si>
    <t xml:space="preserve">      20410</t>
  </si>
  <si>
    <t xml:space="preserve">      Despesas c/transferências bancárias</t>
  </si>
  <si>
    <t xml:space="preserve">  205</t>
  </si>
  <si>
    <t xml:space="preserve">      20501</t>
  </si>
  <si>
    <t xml:space="preserve">      Telefone</t>
  </si>
  <si>
    <t xml:space="preserve">      20502</t>
  </si>
  <si>
    <t xml:space="preserve">      Internet</t>
  </si>
  <si>
    <t xml:space="preserve">      20503</t>
  </si>
  <si>
    <t xml:space="preserve">      Correio</t>
  </si>
  <si>
    <t xml:space="preserve">      20504</t>
  </si>
  <si>
    <t xml:space="preserve">      Reprografia</t>
  </si>
  <si>
    <t xml:space="preserve">      20505</t>
  </si>
  <si>
    <t xml:space="preserve">      20506</t>
  </si>
  <si>
    <t xml:space="preserve">      Pedido de Documentos</t>
  </si>
  <si>
    <t xml:space="preserve">  206</t>
  </si>
  <si>
    <t xml:space="preserve">  Entregas à Cúria Diocesana</t>
  </si>
  <si>
    <t xml:space="preserve">      20601</t>
  </si>
  <si>
    <t xml:space="preserve">      Binações e Trinações</t>
  </si>
  <si>
    <t xml:space="preserve">      20602</t>
  </si>
  <si>
    <t xml:space="preserve">      Intenções Acumuladas</t>
  </si>
  <si>
    <t xml:space="preserve">      20603</t>
  </si>
  <si>
    <t xml:space="preserve">      20604</t>
  </si>
  <si>
    <t xml:space="preserve">      Ofertórios Nacionais e Diocesanos</t>
  </si>
  <si>
    <t xml:space="preserve">          2060401</t>
  </si>
  <si>
    <t xml:space="preserve">          Contributo Penitencial</t>
  </si>
  <si>
    <t xml:space="preserve">          2060402</t>
  </si>
  <si>
    <t xml:space="preserve">          Universidade Católica</t>
  </si>
  <si>
    <t xml:space="preserve">          2060403</t>
  </si>
  <si>
    <t xml:space="preserve">          Cáritas Portuguesa</t>
  </si>
  <si>
    <t xml:space="preserve">          2060404</t>
  </si>
  <si>
    <t xml:space="preserve">          Lugares Santos de Jerusalém</t>
  </si>
  <si>
    <t xml:space="preserve">          2060405</t>
  </si>
  <si>
    <t xml:space="preserve">          Pastoral das Vocações</t>
  </si>
  <si>
    <t xml:space="preserve">          2060406</t>
  </si>
  <si>
    <t xml:space="preserve">          Meios de Comunicação Social</t>
  </si>
  <si>
    <t xml:space="preserve">          2060407</t>
  </si>
  <si>
    <t xml:space="preserve">          Acção Pastoral Diocesana</t>
  </si>
  <si>
    <t xml:space="preserve">          2060408</t>
  </si>
  <si>
    <t xml:space="preserve">          Cadeira de São Pedro</t>
  </si>
  <si>
    <t xml:space="preserve">          2060409</t>
  </si>
  <si>
    <t xml:space="preserve">          Pastoral das Migrações</t>
  </si>
  <si>
    <t xml:space="preserve">          2060410</t>
  </si>
  <si>
    <t xml:space="preserve">          Missões</t>
  </si>
  <si>
    <t xml:space="preserve">          2060411</t>
  </si>
  <si>
    <t xml:space="preserve">          Seminários Diocesanos</t>
  </si>
  <si>
    <t xml:space="preserve">          2060412</t>
  </si>
  <si>
    <t xml:space="preserve">          Fundo Diocesano do Clero</t>
  </si>
  <si>
    <t xml:space="preserve">          2060413</t>
  </si>
  <si>
    <t xml:space="preserve">          Apostolado dos Leigos</t>
  </si>
  <si>
    <t xml:space="preserve">          2060414</t>
  </si>
  <si>
    <t xml:space="preserve">          Ofertórios Ocasionais</t>
  </si>
  <si>
    <t xml:space="preserve">      20605</t>
  </si>
  <si>
    <t xml:space="preserve">      Tributo das Comissões de Festas</t>
  </si>
  <si>
    <t xml:space="preserve">      20606</t>
  </si>
  <si>
    <t xml:space="preserve">      Atestações/Provisões de Baptismo</t>
  </si>
  <si>
    <t xml:space="preserve">      20607</t>
  </si>
  <si>
    <t xml:space="preserve">      Outras Provisões</t>
  </si>
  <si>
    <t xml:space="preserve">  207</t>
  </si>
  <si>
    <t xml:space="preserve">  Obras</t>
  </si>
  <si>
    <t xml:space="preserve">      20701</t>
  </si>
  <si>
    <t xml:space="preserve">      Obras nas Igrejas</t>
  </si>
  <si>
    <t xml:space="preserve">      20702</t>
  </si>
  <si>
    <t xml:space="preserve">      Obras na Residência Paroquial</t>
  </si>
  <si>
    <t xml:space="preserve">      20703</t>
  </si>
  <si>
    <t xml:space="preserve">      Obras no Centro Paroquial</t>
  </si>
  <si>
    <t xml:space="preserve">      20704</t>
  </si>
  <si>
    <t xml:space="preserve">      Obras em Património Imóvel</t>
  </si>
  <si>
    <t xml:space="preserve">  208</t>
  </si>
  <si>
    <t xml:space="preserve">  Despesas de Manutenção</t>
  </si>
  <si>
    <t xml:space="preserve">      20801</t>
  </si>
  <si>
    <t xml:space="preserve">      20802</t>
  </si>
  <si>
    <t xml:space="preserve">      Electricidade</t>
  </si>
  <si>
    <t xml:space="preserve">      20803</t>
  </si>
  <si>
    <t xml:space="preserve">      Água</t>
  </si>
  <si>
    <t xml:space="preserve">      20804</t>
  </si>
  <si>
    <t xml:space="preserve">      Combustíveis</t>
  </si>
  <si>
    <t xml:space="preserve">      20806</t>
  </si>
  <si>
    <t xml:space="preserve">      Ornamentações e Decorações</t>
  </si>
  <si>
    <t xml:space="preserve">      20807</t>
  </si>
  <si>
    <t xml:space="preserve">      Limpeza</t>
  </si>
  <si>
    <t xml:space="preserve">          2080701</t>
  </si>
  <si>
    <t xml:space="preserve">          Materiais de Limpeza</t>
  </si>
  <si>
    <t xml:space="preserve">          2080702</t>
  </si>
  <si>
    <t xml:space="preserve">          Gratificações</t>
  </si>
  <si>
    <t xml:space="preserve">      20808</t>
  </si>
  <si>
    <t xml:space="preserve">      Edifícios</t>
  </si>
  <si>
    <t xml:space="preserve">      20809</t>
  </si>
  <si>
    <t xml:space="preserve">      Pequenas Reparações</t>
  </si>
  <si>
    <t xml:space="preserve">  209</t>
  </si>
  <si>
    <t xml:space="preserve">  Equipamento</t>
  </si>
  <si>
    <t xml:space="preserve">      20901</t>
  </si>
  <si>
    <t xml:space="preserve">      Mobiliário</t>
  </si>
  <si>
    <t xml:space="preserve">      20902</t>
  </si>
  <si>
    <t xml:space="preserve">      Informática</t>
  </si>
  <si>
    <t xml:space="preserve">      20903</t>
  </si>
  <si>
    <t xml:space="preserve">      Fotocopiadores e Faxes</t>
  </si>
  <si>
    <t xml:space="preserve">      20904</t>
  </si>
  <si>
    <t xml:space="preserve">      Sistema de Som</t>
  </si>
  <si>
    <t xml:space="preserve">      20905</t>
  </si>
  <si>
    <t xml:space="preserve">      Alarmes e Vigilância</t>
  </si>
  <si>
    <t xml:space="preserve">      20999</t>
  </si>
  <si>
    <t xml:space="preserve">      Outros Equipamentos</t>
  </si>
  <si>
    <t xml:space="preserve">  210</t>
  </si>
  <si>
    <t xml:space="preserve">  Impostos e Emolumentos</t>
  </si>
  <si>
    <t xml:space="preserve">      21001</t>
  </si>
  <si>
    <t xml:space="preserve">      IMT</t>
  </si>
  <si>
    <t xml:space="preserve">      21002</t>
  </si>
  <si>
    <t xml:space="preserve">      IMI</t>
  </si>
  <si>
    <t xml:space="preserve">      21003</t>
  </si>
  <si>
    <t xml:space="preserve">      IRC</t>
  </si>
  <si>
    <t xml:space="preserve">      21004</t>
  </si>
  <si>
    <t xml:space="preserve">      Mais Valias</t>
  </si>
  <si>
    <t xml:space="preserve">      21005</t>
  </si>
  <si>
    <t xml:space="preserve">      Imposto de Selo</t>
  </si>
  <si>
    <t xml:space="preserve">      21006</t>
  </si>
  <si>
    <t xml:space="preserve">      Custos de Escrituras e Registos</t>
  </si>
  <si>
    <t xml:space="preserve">      21099</t>
  </si>
  <si>
    <t xml:space="preserve">      Taxas Diversas</t>
  </si>
  <si>
    <t xml:space="preserve">  211</t>
  </si>
  <si>
    <t xml:space="preserve">  Encargos Assistência Jurídica</t>
  </si>
  <si>
    <t xml:space="preserve">      21101</t>
  </si>
  <si>
    <t xml:space="preserve">      Advogados e Solicitadores</t>
  </si>
  <si>
    <t xml:space="preserve">      21102</t>
  </si>
  <si>
    <t xml:space="preserve">      Custas Judiciais</t>
  </si>
  <si>
    <t xml:space="preserve">  212</t>
  </si>
  <si>
    <t xml:space="preserve">  Despesas com Viaturas</t>
  </si>
  <si>
    <t xml:space="preserve">      21201</t>
  </si>
  <si>
    <t xml:space="preserve">      Aquisição</t>
  </si>
  <si>
    <t xml:space="preserve">      21202</t>
  </si>
  <si>
    <t xml:space="preserve">      Manutenção e Revisões</t>
  </si>
  <si>
    <t xml:space="preserve">      21203</t>
  </si>
  <si>
    <t xml:space="preserve">      21204</t>
  </si>
  <si>
    <t xml:space="preserve">      Portagens e Selos</t>
  </si>
  <si>
    <t xml:space="preserve">      21205</t>
  </si>
  <si>
    <t xml:space="preserve">      Seguros Auto</t>
  </si>
  <si>
    <t xml:space="preserve">  213</t>
  </si>
  <si>
    <t xml:space="preserve">  Amortizações</t>
  </si>
  <si>
    <t xml:space="preserve">  214</t>
  </si>
  <si>
    <t xml:space="preserve">  Despesas Diversas</t>
  </si>
  <si>
    <t xml:space="preserve">  215</t>
  </si>
  <si>
    <t xml:space="preserve">  Despesas de Representação</t>
  </si>
  <si>
    <t xml:space="preserve">  216</t>
  </si>
  <si>
    <t xml:space="preserve">  Acção Social</t>
  </si>
  <si>
    <t xml:space="preserve">      21601</t>
  </si>
  <si>
    <t xml:space="preserve">      Apoio Social</t>
  </si>
  <si>
    <t xml:space="preserve">      21602</t>
  </si>
  <si>
    <t xml:space="preserve">      Centro Social</t>
  </si>
  <si>
    <t xml:space="preserve">  217</t>
  </si>
  <si>
    <t xml:space="preserve">  Bar</t>
  </si>
  <si>
    <t xml:space="preserve">      21701</t>
  </si>
  <si>
    <t xml:space="preserve">      Bar-compras</t>
  </si>
  <si>
    <t xml:space="preserve">  299</t>
  </si>
  <si>
    <t xml:space="preserve">  Saldo do ano anterior*</t>
  </si>
  <si>
    <t>vazia</t>
  </si>
  <si>
    <t>2010 / 2009</t>
  </si>
  <si>
    <t>variação</t>
  </si>
  <si>
    <t>Conta</t>
  </si>
  <si>
    <t>Descritivo detalhe</t>
  </si>
  <si>
    <t>Descritivo</t>
  </si>
  <si>
    <t>Conta detalhe</t>
  </si>
  <si>
    <t>2011 / 2010</t>
  </si>
  <si>
    <t>média mês 2011</t>
  </si>
  <si>
    <t xml:space="preserve">  Fundo Vicarial</t>
  </si>
  <si>
    <t>2011/2010</t>
  </si>
  <si>
    <t>variação absoluta</t>
  </si>
  <si>
    <t>média mês 2013</t>
  </si>
  <si>
    <t xml:space="preserve">      10303</t>
  </si>
  <si>
    <t xml:space="preserve">      Donativos paroquiais</t>
  </si>
  <si>
    <t xml:space="preserve">          Cx Sagrada Família/Oratórios</t>
  </si>
  <si>
    <t xml:space="preserve">      10904</t>
  </si>
  <si>
    <t xml:space="preserve">      Actividades catequéticas</t>
  </si>
  <si>
    <t>2013 / 2012</t>
  </si>
  <si>
    <t>2013/2012</t>
  </si>
  <si>
    <t>2012 / 2011</t>
  </si>
  <si>
    <t>2012/2011</t>
  </si>
  <si>
    <t>média mês 2012</t>
  </si>
  <si>
    <t xml:space="preserve">      Material de Expediente/assentos</t>
  </si>
  <si>
    <t xml:space="preserve">      20810</t>
  </si>
  <si>
    <t xml:space="preserve">      Jardim</t>
  </si>
  <si>
    <t xml:space="preserve">      SS Trabalhadores</t>
  </si>
  <si>
    <t xml:space="preserve">      SS Paróquia</t>
  </si>
  <si>
    <t>MAPA ANUAL DA DESPESA E RECEITA DA FABRICA DA IGREJA PAROQUIAL DE NOSSA SENHORA DA HORA</t>
  </si>
  <si>
    <t>ANO 2012</t>
  </si>
  <si>
    <t>RECEITAS</t>
  </si>
  <si>
    <t>DESPESAS</t>
  </si>
  <si>
    <t>Ofertórios</t>
  </si>
  <si>
    <t>Culto Divino</t>
  </si>
  <si>
    <t>(Hóstias, Vinho, Cera, Estipêndios pagos)</t>
  </si>
  <si>
    <t>Sacramentos e Sacramentais</t>
  </si>
  <si>
    <t>Formação</t>
  </si>
  <si>
    <t>(Baptismos, Matrimónio, Exequias)</t>
  </si>
  <si>
    <t>(Retiros, Actividades Culturais, Publicações)</t>
  </si>
  <si>
    <t>Contributo Paroquial (contribuintes)</t>
  </si>
  <si>
    <t>Evangelização</t>
  </si>
  <si>
    <t>(Catecismos, Actividades Catequéticas)</t>
  </si>
  <si>
    <t>Caixas</t>
  </si>
  <si>
    <t>Despesas com Pessoal</t>
  </si>
  <si>
    <t>(St. António, Sra da Hora, Sag. Família, Ig. Antiga)</t>
  </si>
  <si>
    <t>(Salários, Seg. Social, Seguros)</t>
  </si>
  <si>
    <t>Estipêndios</t>
  </si>
  <si>
    <t>Secretaria Paroquial</t>
  </si>
  <si>
    <t>(Intenções de Missas)</t>
  </si>
  <si>
    <t>(Telefone, Correio, Reprografia, Documentos, Expediente)</t>
  </si>
  <si>
    <t>Ofertórios Diocesanos</t>
  </si>
  <si>
    <t>Entrega Paroquial à Diocese</t>
  </si>
  <si>
    <t>(Pagamentos à Cúria Diocesana: Atestações, provisões e ofertórios diocesanos e intenções de missas).</t>
  </si>
  <si>
    <t>Obras</t>
  </si>
  <si>
    <t>(Processos Matrimónio, Baptismo, Certidões e Certificados)</t>
  </si>
  <si>
    <t>(Igreja nova e antiga, gabinete anexo sacristia, estores)</t>
  </si>
  <si>
    <t>Receita Extraordinária</t>
  </si>
  <si>
    <t>Despesas Gerais</t>
  </si>
  <si>
    <t>(Electricidade, Água, Combustível, Ornamentações e Decorações)</t>
  </si>
  <si>
    <t>Receitas Diversas</t>
  </si>
  <si>
    <t>Equipamento</t>
  </si>
  <si>
    <t>(Flores, Festas e convivios, Dinâmicas )</t>
  </si>
  <si>
    <t>(Informática, Fotocopiadores, Alarmes e Vigilância)</t>
  </si>
  <si>
    <t>Rendas e Explorações</t>
  </si>
  <si>
    <t>Despesas com Viatura</t>
  </si>
  <si>
    <t>(Livros, Velas, Rendas Património, Bar, Tômbola, Venda Natal)</t>
  </si>
  <si>
    <t>(Combustível, Seguro, Manutenção)</t>
  </si>
  <si>
    <t>Juros</t>
  </si>
  <si>
    <t>Despesas Diversas</t>
  </si>
  <si>
    <t>SOMA DAS RECEITAS DO ANO 2012</t>
  </si>
  <si>
    <t xml:space="preserve">Acção Social </t>
  </si>
  <si>
    <t>Bar (Aquisição de Géneros)</t>
  </si>
  <si>
    <t>SALDO DOS ANOS ANTERIORES</t>
  </si>
  <si>
    <t>SOMA DAS DESPESAS DO ANO 2012</t>
  </si>
  <si>
    <t>SALDO DO ANO 2012</t>
  </si>
  <si>
    <t>SALDO PARA O ANO 2013</t>
  </si>
  <si>
    <t>ANO 2013</t>
  </si>
  <si>
    <t>SOMA DAS RECEITAS DO ANO 2013</t>
  </si>
  <si>
    <t>SOMA DAS DESPESAS DO ANO 2013</t>
  </si>
  <si>
    <t>SALDO DO ANO 2013</t>
  </si>
  <si>
    <t>SALDO PARA O ANO 2014</t>
  </si>
  <si>
    <t>SALDO DOS ANOS ANTERIORES (inclui transferência de saldos)</t>
  </si>
  <si>
    <t>o que estava na folha do ano passado</t>
  </si>
  <si>
    <t>o que decorria do balancete</t>
  </si>
  <si>
    <t>diferença em 2012</t>
  </si>
  <si>
    <t>transferência de saldos Montepio</t>
  </si>
  <si>
    <t>Ddp do Banco BPI?</t>
  </si>
  <si>
    <t>Provisões e celebrações de Batismo; certificados e processos para matrimónio</t>
  </si>
  <si>
    <t>Ofertórios nas celebrações</t>
  </si>
  <si>
    <t>Caixas de esmolas</t>
  </si>
  <si>
    <t>Receita Extraordinária (devolução do IVA)</t>
  </si>
  <si>
    <t xml:space="preserve">      Combustíveis de combustiveis</t>
  </si>
  <si>
    <t>Exequias, Matrimónio, Ofertas-extra em celebrações</t>
  </si>
  <si>
    <t>(Decoração da Igreja, Hóstias, Cera, Estipêndios pagos, paramentos)</t>
  </si>
  <si>
    <t>(Telefone, Internet, Correio, Reprografia, Documentos, Expediente)</t>
  </si>
  <si>
    <t>Ofertórios Diocesanos, Missas pluritencionais, Binações e Contributo Penitencial - entregues em Janeiro 2014</t>
  </si>
  <si>
    <t>(Cozinha, Cobertura entrada Centro, salas 1º andar, projecto esculturas, reposição de caleiras, saneamento)</t>
  </si>
  <si>
    <t>(Electricidade, Água, Combustível, Seguros, Jardim, Reparações diversas)</t>
  </si>
  <si>
    <t>(Mobiliario das salas 1º piso, sala de informática, equipamentos para a cozinha, segurança, reprografia, rep orgão)</t>
  </si>
  <si>
    <t>(Seguro, Manutenção)</t>
  </si>
  <si>
    <t>Despesas Diversas (IRC, Despesas de representação, Fundo Vicarial, etc.)</t>
  </si>
  <si>
    <t xml:space="preserve">Contribuições específicas para obras; Contribuições paroquiais </t>
  </si>
  <si>
    <t>despesas extraordinárias</t>
  </si>
  <si>
    <t>obras e aquisiçao de equipamento</t>
  </si>
  <si>
    <t>(Livros, Velas, Rendas (IEFP, Bar das Sete Bicas), Bar da Paróquia, aluguer da cripta)</t>
  </si>
  <si>
    <t>2014/2013</t>
  </si>
  <si>
    <t>média mês 2014</t>
  </si>
  <si>
    <t>2014 / 2013</t>
  </si>
  <si>
    <t>ANO 2014</t>
  </si>
  <si>
    <t>SOMA DAS RECEITAS DO ANO 2014</t>
  </si>
  <si>
    <t>SOMA DAS DESPESAS DO ANO 2014</t>
  </si>
  <si>
    <t>(Livros, Velas, Rendas (IEFP, Bar das Sete Bicas), Bar da Paróquia, Ensina +)</t>
  </si>
  <si>
    <t>Receita Extraordinária (devolução de IVA e IRC)</t>
  </si>
  <si>
    <t xml:space="preserve">Ofertórios Diocesanos, Missas pluritencionais, Binações e Contributo Penitencial </t>
  </si>
  <si>
    <t>SALDO DO ANO 2014</t>
  </si>
  <si>
    <t>Contribuições específicas para obras e mobiliário; Outras contribuições</t>
  </si>
  <si>
    <t>Contribuições: Mobiliário 3120, Devolução IRS 761.74, festas SH 500;  restante obras</t>
  </si>
  <si>
    <t>Caixas de esmolas - baixa significativa na Igreja Antiga (-2944 que em 2013)</t>
  </si>
  <si>
    <t>Receitas</t>
  </si>
  <si>
    <t>Baixa nos ofertórios 4,3 mil euros, baixa nas exéquias… 4 mil euros</t>
  </si>
  <si>
    <t>Aumento nas intenções 3,5 mil euros</t>
  </si>
  <si>
    <t>(Cozinha, Parque das Sete Bicas, Casa Paroquial-temporal)</t>
  </si>
  <si>
    <t>Despesas</t>
  </si>
  <si>
    <t>Obras das casas de banho 8971, restante cozinha 9602.19, casa paroquial 3012.4</t>
  </si>
  <si>
    <t>Equipamento: Mobiliário 9154.28, computador 1323.01, alfombra: 1279.13,</t>
  </si>
  <si>
    <t>(Mobiliario das salas, segurança, computador, alfombra, reprografia)</t>
  </si>
  <si>
    <t>Despesas gerais: baixa electricidade 4 mil euros,, aumento água 600 euros</t>
  </si>
  <si>
    <t>Devolução IRC 1467, dev IVA 3702, restante IVA recebido do IEFP (que em principio não entregaremos ao estado pois temos IVA a receber (acerto contas))</t>
  </si>
  <si>
    <t>Rendas aumento IEFP 9 mil euros (total 15768 dos quais 3450 são de 2013), Bar 2,3 mil euros, Café mil euros. Ensina + 377.3 euros</t>
  </si>
  <si>
    <t xml:space="preserve">Bar </t>
  </si>
  <si>
    <t>Bar - Durante a semana</t>
  </si>
  <si>
    <t>Bar - Outros</t>
  </si>
  <si>
    <t>Compras Bar</t>
  </si>
  <si>
    <t>Helena Bar</t>
  </si>
  <si>
    <t>Total</t>
  </si>
  <si>
    <t>Diferença</t>
  </si>
  <si>
    <t>compras proporção</t>
  </si>
  <si>
    <t>Helena</t>
  </si>
  <si>
    <t>Proveito sem electricidade/água …</t>
  </si>
  <si>
    <t xml:space="preserve">      Telefone/Internet</t>
  </si>
  <si>
    <t>Aumento dos custos e baixa nas receitas</t>
  </si>
  <si>
    <t>Rsultado</t>
  </si>
  <si>
    <t>2015 / 2014</t>
  </si>
  <si>
    <t>2015/2014</t>
  </si>
  <si>
    <t>média mês 2015</t>
  </si>
  <si>
    <t>ANO 2015</t>
  </si>
  <si>
    <t>SOMA DAS RECEITAS DO ANO 2015</t>
  </si>
  <si>
    <t>SOMA DAS DESPESAS DO ANO 2015</t>
  </si>
  <si>
    <t>SALDO DO ANO 2015</t>
  </si>
  <si>
    <t>SALDO PARA O ANO 2016</t>
  </si>
  <si>
    <t>Exequias, Matrimónio</t>
  </si>
  <si>
    <t>(Retiros, Actividades Culturais)</t>
  </si>
  <si>
    <t>Receitas (baixa 17 mil euros)</t>
  </si>
  <si>
    <t>Despesas (baixa de 15 mil euros)</t>
  </si>
  <si>
    <t>Caixas de esmolas - aumento nos oratórios (2,6 mil euros) e na igreja antiga (2.3 mil euros)</t>
  </si>
  <si>
    <t>Baixa nas intenções 3,6 mil euros</t>
  </si>
  <si>
    <t>Baixa no contributo paroquial 5 mil euros (ano anterior mobiliário..)</t>
  </si>
  <si>
    <t>Baixa na devolução do IVA aprox 5 mil euros (IEFP menos que no ano anterior) IVA recebido do IEFP (que em principio não entregaremos ao estado pois temos IVA a receber (acerto contas))</t>
  </si>
  <si>
    <t>Secretaria paroquial aumento de 2,3 mil euros (+ matrimónios)</t>
  </si>
  <si>
    <t>Rendas baixa  11 mil euros (baixa no IEFP e no bar não compensado pelo aumento no ensina+ e no karaté)</t>
  </si>
  <si>
    <t>Baixa no jardim (3.7 mil euros), equipamento  (mobiliário 8.8 mil euros e informática 2.8 mil euros) e bar 3.2 mil euros</t>
  </si>
  <si>
    <t>Aumento na secretaria 1.4 mil euros, reprografia 1.2 mil euros</t>
  </si>
  <si>
    <t>Contributos paroquiais</t>
  </si>
  <si>
    <t>(Flores, festas, almoços, jantares e convivios, dinâmicas )</t>
  </si>
  <si>
    <t>Bar da Paróquia - Compras</t>
  </si>
  <si>
    <t>Bar da Paróquia - Vendas</t>
  </si>
  <si>
    <t>(Flores, Hóstias, Cera, Estipêndios pagos, Serviços Litúrgicos</t>
  </si>
  <si>
    <t>(Sala dos jovens, Sala Nobre, Casas de banho 1º e 2º Pisos, Balnearios, sinalética, soalho da Igreja Antiga)</t>
  </si>
  <si>
    <t>(Mobiliario sala Jovens, segurança, computador, sistemas de som, reprografia)</t>
  </si>
  <si>
    <t>(Livros, Velas, Rendas (IEFP, Bar das Sete Bicas),  Ensina +, Karaté, cripta, Assoc Festas-soalho Igreja Antiga)</t>
  </si>
  <si>
    <t>(Electricidade-11412.69 euros , Água-3344.67 euros, Seguros-1881.45 euros, Combustível, Jardim, Reparações diversas)</t>
  </si>
  <si>
    <t>ANO 2016</t>
  </si>
  <si>
    <t>2016 / 2015</t>
  </si>
  <si>
    <t>média mês 2016</t>
  </si>
  <si>
    <t>Missas Plurintencionais</t>
  </si>
  <si>
    <t>Custos bancários</t>
  </si>
  <si>
    <t>SOMA DAS RECEITAS DO ANO 2016</t>
  </si>
  <si>
    <t>SOMA DAS DESPESAS DO ANO 2016</t>
  </si>
  <si>
    <t>SALDO PARA O ANO 2017</t>
  </si>
  <si>
    <t>SALDO DO ANO 2016</t>
  </si>
  <si>
    <t>(Pagamentos à Cúria Diocesana: Atestações, provisões. Ofertórios diocesanos e intenções de missas de 2015).</t>
  </si>
  <si>
    <t>SALDO PARA O ANO 2015</t>
  </si>
  <si>
    <t>2017/ 2016</t>
  </si>
  <si>
    <t>média mês 2017</t>
  </si>
  <si>
    <t>ANO 2017</t>
  </si>
  <si>
    <t>SOMA DAS RECEITAS DO ANO 2017</t>
  </si>
  <si>
    <t>SOMA DAS DESPESAS DO ANO 2017</t>
  </si>
  <si>
    <t>SALDO DO ANO 2017</t>
  </si>
  <si>
    <t>SALDO PARA O ANO 2018</t>
  </si>
  <si>
    <t>Bar</t>
  </si>
  <si>
    <t>Bar semana</t>
  </si>
  <si>
    <t>Coros / Música</t>
  </si>
  <si>
    <t>IVA</t>
  </si>
  <si>
    <t>Serviço Pastoral</t>
  </si>
  <si>
    <t>(Livros, Velas, Rendas (IEFP, Bar das Sete Bicas, Assoc Cultural Bicas), Karaté, cripta)</t>
  </si>
  <si>
    <t>(Catecismos, Actividades Catequéticas, Pastoral familia e doentes)</t>
  </si>
  <si>
    <t>(Pagamentos à Cúria Diocesana: Atestações, provisões. Ofertórios diocesanos e intenções de missas de 2016).</t>
  </si>
  <si>
    <t>(Lantana e obras Igreja Antiga)</t>
  </si>
  <si>
    <t>(Electricidade-10060.46 euros , Água-3287.97 euros, Seguros-1704.765 euros,  Reparações diversas, Limpeza, Combustível, Jardim)</t>
  </si>
  <si>
    <t>( Reprografia, segurança, computador, sistemas de som, mobiliário e outros)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</si>
</sst>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#,##0.00000000000"/>
    <numFmt numFmtId="167" formatCode="#,##0.0000000000"/>
    <numFmt numFmtId="168" formatCode="#,##0.000000000"/>
    <numFmt numFmtId="169" formatCode="#,##0.00000000"/>
    <numFmt numFmtId="170" formatCode="#,##0.0000000"/>
    <numFmt numFmtId="171" formatCode="#,##0.000000"/>
    <numFmt numFmtId="172" formatCode="#,##0.00000"/>
    <numFmt numFmtId="173" formatCode="#,##0.0000"/>
    <numFmt numFmtId="174" formatCode="#,##0.000"/>
    <numFmt numFmtId="175" formatCode="#,##0.0"/>
  </numFmts>
  <fonts count="55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b/>
      <sz val="9.1"/>
      <color indexed="8"/>
      <name val="Arial Narrow"/>
      <family val="0"/>
    </font>
    <font>
      <sz val="9.85"/>
      <color indexed="18"/>
      <name val="Arial Narrow"/>
      <family val="0"/>
    </font>
    <font>
      <sz val="9.85"/>
      <color indexed="8"/>
      <name val="Arial Narrow"/>
      <family val="0"/>
    </font>
    <font>
      <sz val="7.9"/>
      <color indexed="8"/>
      <name val="Arial"/>
      <family val="0"/>
    </font>
    <font>
      <sz val="8"/>
      <name val="MS Sans Serif"/>
      <family val="0"/>
    </font>
    <font>
      <sz val="12"/>
      <color indexed="8"/>
      <name val="MS Sans Serif"/>
      <family val="0"/>
    </font>
    <font>
      <sz val="12"/>
      <color indexed="18"/>
      <name val="Arial Narrow"/>
      <family val="0"/>
    </font>
    <font>
      <sz val="12"/>
      <color indexed="8"/>
      <name val="Arial Narrow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MS Sans Serif"/>
      <family val="0"/>
    </font>
    <font>
      <sz val="10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MS Sans Serif"/>
      <family val="0"/>
    </font>
    <font>
      <sz val="10"/>
      <color rgb="FFFF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47" fillId="20" borderId="7" applyNumberFormat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0" fontId="0" fillId="0" borderId="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1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0" fontId="0" fillId="0" borderId="10" xfId="52" applyNumberFormat="1" applyFont="1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10" fontId="0" fillId="33" borderId="10" xfId="52" applyNumberFormat="1" applyFont="1" applyFill="1" applyBorder="1" applyAlignment="1" applyProtection="1">
      <alignment/>
      <protection/>
    </xf>
    <xf numFmtId="10" fontId="0" fillId="0" borderId="10" xfId="0" applyNumberForma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>
      <alignment vertical="center"/>
    </xf>
    <xf numFmtId="10" fontId="7" fillId="0" borderId="10" xfId="52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0" fontId="7" fillId="33" borderId="10" xfId="52" applyNumberFormat="1" applyFont="1" applyFill="1" applyBorder="1" applyAlignment="1" applyProtection="1">
      <alignment/>
      <protection/>
    </xf>
    <xf numFmtId="0" fontId="8" fillId="0" borderId="10" xfId="0" applyFont="1" applyBorder="1" applyAlignment="1">
      <alignment horizontal="left" vertical="center"/>
    </xf>
    <xf numFmtId="1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1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1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0" fontId="7" fillId="0" borderId="16" xfId="52" applyNumberFormat="1" applyFont="1" applyFill="1" applyBorder="1" applyAlignment="1" applyProtection="1">
      <alignment/>
      <protection/>
    </xf>
    <xf numFmtId="4" fontId="7" fillId="0" borderId="17" xfId="0" applyNumberFormat="1" applyFont="1" applyFill="1" applyBorder="1" applyAlignment="1" applyProtection="1">
      <alignment/>
      <protection/>
    </xf>
    <xf numFmtId="10" fontId="0" fillId="0" borderId="16" xfId="52" applyNumberFormat="1" applyFont="1" applyFill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/>
      <protection/>
    </xf>
    <xf numFmtId="10" fontId="0" fillId="33" borderId="16" xfId="52" applyNumberFormat="1" applyFont="1" applyFill="1" applyBorder="1" applyAlignment="1" applyProtection="1">
      <alignment/>
      <protection/>
    </xf>
    <xf numFmtId="10" fontId="7" fillId="33" borderId="16" xfId="52" applyNumberFormat="1" applyFont="1" applyFill="1" applyBorder="1" applyAlignment="1" applyProtection="1">
      <alignment/>
      <protection/>
    </xf>
    <xf numFmtId="10" fontId="0" fillId="0" borderId="18" xfId="0" applyNumberFormat="1" applyFill="1" applyBorder="1" applyAlignment="1" applyProtection="1">
      <alignment/>
      <protection/>
    </xf>
    <xf numFmtId="4" fontId="0" fillId="0" borderId="19" xfId="0" applyNumberFormat="1" applyFill="1" applyBorder="1" applyAlignment="1" applyProtection="1">
      <alignment/>
      <protection/>
    </xf>
    <xf numFmtId="4" fontId="0" fillId="0" borderId="20" xfId="0" applyNumberFormat="1" applyFill="1" applyBorder="1" applyAlignment="1" applyProtection="1">
      <alignment/>
      <protection/>
    </xf>
    <xf numFmtId="4" fontId="0" fillId="0" borderId="12" xfId="0" applyNumberFormat="1" applyFill="1" applyBorder="1" applyAlignment="1" applyProtection="1">
      <alignment/>
      <protection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8" fontId="12" fillId="0" borderId="21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8" fontId="12" fillId="0" borderId="23" xfId="0" applyNumberFormat="1" applyFont="1" applyBorder="1" applyAlignment="1">
      <alignment horizontal="right" vertical="center" wrapText="1"/>
    </xf>
    <xf numFmtId="0" fontId="12" fillId="0" borderId="25" xfId="0" applyFont="1" applyBorder="1" applyAlignment="1">
      <alignment vertical="center" wrapText="1"/>
    </xf>
    <xf numFmtId="8" fontId="12" fillId="0" borderId="21" xfId="0" applyNumberFormat="1" applyFont="1" applyBorder="1" applyAlignment="1">
      <alignment vertical="center" wrapText="1"/>
    </xf>
    <xf numFmtId="8" fontId="12" fillId="0" borderId="24" xfId="0" applyNumberFormat="1" applyFont="1" applyBorder="1" applyAlignment="1">
      <alignment horizontal="right" vertical="center" wrapText="1"/>
    </xf>
    <xf numFmtId="0" fontId="13" fillId="0" borderId="23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8" fontId="14" fillId="0" borderId="26" xfId="0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vertical="center" wrapText="1"/>
    </xf>
    <xf numFmtId="8" fontId="16" fillId="0" borderId="21" xfId="0" applyNumberFormat="1" applyFont="1" applyBorder="1" applyAlignment="1">
      <alignment horizontal="right" vertical="center" wrapText="1"/>
    </xf>
    <xf numFmtId="165" fontId="16" fillId="0" borderId="24" xfId="0" applyNumberFormat="1" applyFont="1" applyBorder="1" applyAlignment="1">
      <alignment horizontal="right" vertical="center" wrapText="1"/>
    </xf>
    <xf numFmtId="8" fontId="16" fillId="0" borderId="25" xfId="0" applyNumberFormat="1" applyFont="1" applyBorder="1" applyAlignment="1">
      <alignment vertical="center" wrapText="1"/>
    </xf>
    <xf numFmtId="8" fontId="14" fillId="0" borderId="21" xfId="0" applyNumberFormat="1" applyFont="1" applyBorder="1" applyAlignment="1">
      <alignment horizontal="right" vertical="center" wrapText="1"/>
    </xf>
    <xf numFmtId="8" fontId="14" fillId="0" borderId="23" xfId="0" applyNumberFormat="1" applyFont="1" applyBorder="1" applyAlignment="1">
      <alignment horizontal="right" vertical="center" wrapText="1"/>
    </xf>
    <xf numFmtId="8" fontId="14" fillId="0" borderId="21" xfId="0" applyNumberFormat="1" applyFont="1" applyBorder="1" applyAlignment="1">
      <alignment vertical="center" wrapText="1"/>
    </xf>
    <xf numFmtId="8" fontId="14" fillId="0" borderId="25" xfId="0" applyNumberFormat="1" applyFont="1" applyBorder="1" applyAlignment="1">
      <alignment vertical="center" wrapText="1"/>
    </xf>
    <xf numFmtId="165" fontId="14" fillId="0" borderId="24" xfId="0" applyNumberFormat="1" applyFont="1" applyBorder="1" applyAlignment="1">
      <alignment horizontal="right" vertical="center" wrapText="1"/>
    </xf>
    <xf numFmtId="4" fontId="0" fillId="33" borderId="12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27" xfId="0" applyNumberFormat="1" applyFill="1" applyBorder="1" applyAlignment="1" applyProtection="1">
      <alignment/>
      <protection/>
    </xf>
    <xf numFmtId="4" fontId="0" fillId="0" borderId="28" xfId="0" applyNumberFormat="1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/>
      <protection/>
    </xf>
    <xf numFmtId="4" fontId="0" fillId="0" borderId="29" xfId="0" applyNumberFormat="1" applyFill="1" applyBorder="1" applyAlignment="1" applyProtection="1">
      <alignment/>
      <protection/>
    </xf>
    <xf numFmtId="4" fontId="0" fillId="0" borderId="30" xfId="0" applyNumberFormat="1" applyFill="1" applyBorder="1" applyAlignment="1" applyProtection="1">
      <alignment/>
      <protection/>
    </xf>
    <xf numFmtId="4" fontId="0" fillId="0" borderId="31" xfId="0" applyNumberFormat="1" applyFill="1" applyBorder="1" applyAlignment="1" applyProtection="1">
      <alignment/>
      <protection/>
    </xf>
    <xf numFmtId="8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66" fontId="0" fillId="0" borderId="0" xfId="0" applyNumberFormat="1" applyFill="1" applyBorder="1" applyAlignment="1" applyProtection="1">
      <alignment/>
      <protection/>
    </xf>
    <xf numFmtId="4" fontId="53" fillId="0" borderId="10" xfId="0" applyNumberFormat="1" applyFont="1" applyFill="1" applyBorder="1" applyAlignment="1" applyProtection="1">
      <alignment/>
      <protection/>
    </xf>
    <xf numFmtId="4" fontId="54" fillId="0" borderId="10" xfId="0" applyNumberFormat="1" applyFont="1" applyFill="1" applyBorder="1" applyAlignment="1" applyProtection="1">
      <alignment/>
      <protection/>
    </xf>
    <xf numFmtId="4" fontId="17" fillId="0" borderId="10" xfId="0" applyNumberFormat="1" applyFont="1" applyFill="1" applyBorder="1" applyAlignment="1" applyProtection="1">
      <alignment/>
      <protection/>
    </xf>
    <xf numFmtId="4" fontId="0" fillId="34" borderId="10" xfId="0" applyNumberFormat="1" applyFill="1" applyBorder="1" applyAlignment="1" applyProtection="1">
      <alignment/>
      <protection/>
    </xf>
    <xf numFmtId="0" fontId="12" fillId="0" borderId="21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65" fontId="12" fillId="0" borderId="21" xfId="0" applyNumberFormat="1" applyFont="1" applyBorder="1" applyAlignment="1">
      <alignment horizontal="right" vertical="center" wrapText="1"/>
    </xf>
    <xf numFmtId="165" fontId="12" fillId="0" borderId="23" xfId="0" applyNumberFormat="1" applyFont="1" applyBorder="1" applyAlignment="1">
      <alignment horizontal="right" vertical="center" wrapText="1"/>
    </xf>
    <xf numFmtId="8" fontId="12" fillId="0" borderId="21" xfId="0" applyNumberFormat="1" applyFont="1" applyBorder="1" applyAlignment="1">
      <alignment horizontal="right" vertical="center" wrapText="1"/>
    </xf>
    <xf numFmtId="8" fontId="12" fillId="0" borderId="23" xfId="0" applyNumberFormat="1" applyFont="1" applyBorder="1" applyAlignment="1">
      <alignment horizontal="right" vertic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8" fontId="16" fillId="0" borderId="21" xfId="0" applyNumberFormat="1" applyFont="1" applyBorder="1" applyAlignment="1">
      <alignment horizontal="right" vertical="center" wrapText="1"/>
    </xf>
    <xf numFmtId="8" fontId="16" fillId="0" borderId="23" xfId="0" applyNumberFormat="1" applyFont="1" applyBorder="1" applyAlignment="1">
      <alignment horizontal="right" vertical="center" wrapText="1"/>
    </xf>
    <xf numFmtId="0" fontId="15" fillId="0" borderId="21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165" fontId="14" fillId="0" borderId="21" xfId="0" applyNumberFormat="1" applyFont="1" applyBorder="1" applyAlignment="1">
      <alignment horizontal="right" vertical="center" wrapText="1"/>
    </xf>
    <xf numFmtId="165" fontId="14" fillId="0" borderId="23" xfId="0" applyNumberFormat="1" applyFont="1" applyBorder="1" applyAlignment="1">
      <alignment horizontal="right" vertical="center" wrapText="1"/>
    </xf>
    <xf numFmtId="0" fontId="13" fillId="0" borderId="21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8" fontId="14" fillId="0" borderId="21" xfId="0" applyNumberFormat="1" applyFont="1" applyBorder="1" applyAlignment="1">
      <alignment horizontal="right" vertical="center" wrapText="1"/>
    </xf>
    <xf numFmtId="8" fontId="14" fillId="0" borderId="23" xfId="0" applyNumberFormat="1" applyFont="1" applyBorder="1" applyAlignment="1">
      <alignment horizontal="right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4"/>
  <sheetViews>
    <sheetView zoomScalePageLayoutView="0" workbookViewId="0" topLeftCell="A194">
      <selection activeCell="I200" sqref="I200"/>
    </sheetView>
  </sheetViews>
  <sheetFormatPr defaultColWidth="11.421875" defaultRowHeight="12.75"/>
  <cols>
    <col min="1" max="1" width="11.421875" style="0" customWidth="1"/>
    <col min="2" max="2" width="6.140625" style="0" customWidth="1"/>
    <col min="3" max="3" width="11.421875" style="0" customWidth="1"/>
    <col min="4" max="4" width="24.8515625" style="0" customWidth="1"/>
    <col min="5" max="5" width="11.421875" style="0" hidden="1" customWidth="1"/>
    <col min="6" max="6" width="9.00390625" style="0" hidden="1" customWidth="1"/>
    <col min="7" max="7" width="11.421875" style="5" customWidth="1"/>
    <col min="8" max="8" width="12.7109375" style="0" bestFit="1" customWidth="1"/>
    <col min="9" max="9" width="12.7109375" style="0" customWidth="1"/>
    <col min="10" max="10" width="12.7109375" style="0" bestFit="1" customWidth="1"/>
    <col min="11" max="11" width="11.421875" style="5" customWidth="1"/>
    <col min="12" max="12" width="12.7109375" style="0" bestFit="1" customWidth="1"/>
    <col min="13" max="13" width="12.7109375" style="0" customWidth="1"/>
    <col min="14" max="14" width="12.7109375" style="0" bestFit="1" customWidth="1"/>
    <col min="15" max="15" width="11.421875" style="5" customWidth="1"/>
    <col min="16" max="16" width="12.7109375" style="0" bestFit="1" customWidth="1"/>
    <col min="17" max="17" width="12.7109375" style="0" customWidth="1"/>
    <col min="18" max="18" width="12.7109375" style="0" bestFit="1" customWidth="1"/>
    <col min="19" max="19" width="11.421875" style="5" customWidth="1"/>
    <col min="20" max="20" width="12.7109375" style="0" bestFit="1" customWidth="1"/>
    <col min="21" max="21" width="12.7109375" style="0" customWidth="1"/>
    <col min="22" max="22" width="12.7109375" style="0" bestFit="1" customWidth="1"/>
    <col min="23" max="23" width="11.421875" style="5" customWidth="1"/>
    <col min="24" max="24" width="12.7109375" style="0" bestFit="1" customWidth="1"/>
    <col min="25" max="25" width="12.7109375" style="0" customWidth="1"/>
    <col min="26" max="26" width="12.7109375" style="0" bestFit="1" customWidth="1"/>
    <col min="27" max="27" width="11.421875" style="5" customWidth="1"/>
    <col min="28" max="28" width="12.7109375" style="0" bestFit="1" customWidth="1"/>
    <col min="29" max="29" width="12.7109375" style="0" customWidth="1"/>
    <col min="30" max="30" width="12.7109375" style="0" bestFit="1" customWidth="1"/>
    <col min="31" max="31" width="11.421875" style="5" customWidth="1"/>
    <col min="32" max="32" width="12.7109375" style="0" bestFit="1" customWidth="1"/>
    <col min="33" max="33" width="12.7109375" style="0" customWidth="1"/>
    <col min="34" max="34" width="12.7109375" style="0" bestFit="1" customWidth="1"/>
    <col min="35" max="35" width="11.421875" style="5" customWidth="1"/>
    <col min="36" max="37" width="12.7109375" style="0" bestFit="1" customWidth="1"/>
    <col min="38" max="38" width="5.7109375" style="0" hidden="1" customWidth="1"/>
  </cols>
  <sheetData>
    <row r="1" spans="1:34" ht="15.75">
      <c r="A1" s="1" t="s">
        <v>0</v>
      </c>
      <c r="G1" s="63">
        <f>+H5-H79</f>
        <v>179684.1</v>
      </c>
      <c r="H1" s="41">
        <f>+H5+H80</f>
        <v>226900.8</v>
      </c>
      <c r="I1" s="41">
        <f>+G1-K1</f>
        <v>5620.569999999978</v>
      </c>
      <c r="J1" s="27"/>
      <c r="K1" s="63">
        <f>+L5-L79</f>
        <v>174063.53000000003</v>
      </c>
      <c r="L1" s="41">
        <f>+L5+L80</f>
        <v>201885.77000000002</v>
      </c>
      <c r="M1" s="26"/>
      <c r="N1" s="27"/>
      <c r="O1" s="63">
        <f>+P5-P79</f>
        <v>162137.13999999998</v>
      </c>
      <c r="P1" s="41">
        <f>+P5+P80</f>
        <v>191358.83</v>
      </c>
      <c r="Q1" s="26"/>
      <c r="R1" s="27"/>
      <c r="S1" s="63">
        <f>+T5-T79</f>
        <v>179335.22</v>
      </c>
      <c r="T1" s="41">
        <f>+T5+T80</f>
        <v>208556.91</v>
      </c>
      <c r="U1" s="26"/>
      <c r="V1" s="27"/>
      <c r="W1" s="63">
        <f>+X5-X79</f>
        <v>166132.00999999998</v>
      </c>
      <c r="X1" s="41">
        <f>+X5+X80</f>
        <v>243938.02999999997</v>
      </c>
      <c r="Y1" s="26"/>
      <c r="Z1" s="27"/>
      <c r="AA1" s="25"/>
      <c r="AB1" s="41">
        <f>+AB5+AB80</f>
        <v>221020.98</v>
      </c>
      <c r="AC1" s="26"/>
      <c r="AD1" s="27"/>
      <c r="AE1" s="25"/>
      <c r="AF1" s="26"/>
      <c r="AG1" s="26"/>
      <c r="AH1" s="27"/>
    </row>
    <row r="2" spans="7:34" ht="12.75">
      <c r="G2" s="28"/>
      <c r="J2" s="29"/>
      <c r="K2" s="28"/>
      <c r="N2" s="29"/>
      <c r="O2" s="28"/>
      <c r="R2" s="29"/>
      <c r="S2" s="28"/>
      <c r="V2" s="29"/>
      <c r="W2" s="28"/>
      <c r="Z2" s="29"/>
      <c r="AA2" s="28"/>
      <c r="AD2" s="29"/>
      <c r="AE2" s="28"/>
      <c r="AH2" s="29"/>
    </row>
    <row r="3" spans="7:38" ht="13.5">
      <c r="G3" s="28" t="s">
        <v>375</v>
      </c>
      <c r="I3" s="8" t="s">
        <v>384</v>
      </c>
      <c r="J3" s="29"/>
      <c r="K3" s="28" t="s">
        <v>375</v>
      </c>
      <c r="M3" s="8" t="s">
        <v>384</v>
      </c>
      <c r="N3" s="29"/>
      <c r="O3" s="28" t="s">
        <v>375</v>
      </c>
      <c r="Q3" s="8" t="s">
        <v>384</v>
      </c>
      <c r="R3" s="29"/>
      <c r="S3" s="28" t="s">
        <v>375</v>
      </c>
      <c r="U3" s="8" t="s">
        <v>384</v>
      </c>
      <c r="V3" s="29"/>
      <c r="W3" s="28" t="s">
        <v>375</v>
      </c>
      <c r="Y3" s="8" t="s">
        <v>384</v>
      </c>
      <c r="Z3" s="29"/>
      <c r="AA3" s="28" t="s">
        <v>375</v>
      </c>
      <c r="AC3" s="8" t="s">
        <v>384</v>
      </c>
      <c r="AD3" s="29"/>
      <c r="AE3" s="28" t="s">
        <v>375</v>
      </c>
      <c r="AG3" s="8" t="s">
        <v>384</v>
      </c>
      <c r="AH3" s="29"/>
      <c r="AI3" s="5" t="s">
        <v>375</v>
      </c>
      <c r="AL3" s="4" t="s">
        <v>373</v>
      </c>
    </row>
    <row r="4" spans="1:38" ht="13.5">
      <c r="A4" s="6" t="s">
        <v>379</v>
      </c>
      <c r="B4" s="6" t="s">
        <v>376</v>
      </c>
      <c r="C4" s="6" t="s">
        <v>377</v>
      </c>
      <c r="D4" s="6" t="s">
        <v>378</v>
      </c>
      <c r="E4" s="6"/>
      <c r="F4" s="6"/>
      <c r="G4" s="30" t="s">
        <v>555</v>
      </c>
      <c r="H4" s="8">
        <v>2017</v>
      </c>
      <c r="I4" s="7" t="str">
        <f>+G4</f>
        <v>2017/ 2016</v>
      </c>
      <c r="J4" s="31" t="s">
        <v>556</v>
      </c>
      <c r="K4" s="30" t="s">
        <v>545</v>
      </c>
      <c r="L4" s="8">
        <v>2016</v>
      </c>
      <c r="M4" s="7" t="str">
        <f>+K4</f>
        <v>2016 / 2015</v>
      </c>
      <c r="N4" s="31" t="s">
        <v>546</v>
      </c>
      <c r="O4" s="30" t="s">
        <v>515</v>
      </c>
      <c r="P4" s="8">
        <v>2015</v>
      </c>
      <c r="Q4" s="8" t="s">
        <v>516</v>
      </c>
      <c r="R4" s="31" t="s">
        <v>517</v>
      </c>
      <c r="S4" s="30" t="s">
        <v>480</v>
      </c>
      <c r="T4" s="8">
        <v>2014</v>
      </c>
      <c r="U4" s="8" t="s">
        <v>478</v>
      </c>
      <c r="V4" s="31" t="s">
        <v>479</v>
      </c>
      <c r="W4" s="30" t="s">
        <v>391</v>
      </c>
      <c r="X4" s="8">
        <v>2013</v>
      </c>
      <c r="Y4" s="8" t="s">
        <v>392</v>
      </c>
      <c r="Z4" s="31" t="s">
        <v>385</v>
      </c>
      <c r="AA4" s="30" t="s">
        <v>393</v>
      </c>
      <c r="AB4" s="8">
        <v>2012</v>
      </c>
      <c r="AC4" s="8" t="s">
        <v>394</v>
      </c>
      <c r="AD4" s="31" t="s">
        <v>395</v>
      </c>
      <c r="AE4" s="30" t="s">
        <v>380</v>
      </c>
      <c r="AF4" s="8">
        <v>2011</v>
      </c>
      <c r="AG4" s="8" t="s">
        <v>383</v>
      </c>
      <c r="AH4" s="31" t="s">
        <v>381</v>
      </c>
      <c r="AI4" s="7" t="s">
        <v>374</v>
      </c>
      <c r="AJ4" s="8">
        <v>2010</v>
      </c>
      <c r="AK4" s="8">
        <v>2009</v>
      </c>
      <c r="AL4" s="3"/>
    </row>
    <row r="5" spans="1:38" s="20" customFormat="1" ht="15.75">
      <c r="A5" s="21"/>
      <c r="B5" s="16" t="s">
        <v>1</v>
      </c>
      <c r="C5" s="15"/>
      <c r="D5" s="16" t="s">
        <v>2</v>
      </c>
      <c r="E5" s="15"/>
      <c r="F5" s="15"/>
      <c r="G5" s="32">
        <f>H5/L5-1</f>
        <v>0.03229033675233395</v>
      </c>
      <c r="H5" s="18">
        <f>+H6+H12+H18+H23+H30+H34+H49+H54+H60+H66+H77+H78+H79</f>
        <v>179684.1</v>
      </c>
      <c r="I5" s="18">
        <f>+H5-L5</f>
        <v>5620.569999999978</v>
      </c>
      <c r="J5" s="33">
        <f aca="true" t="shared" si="0" ref="J5:J68">+H5/12</f>
        <v>14973.675000000001</v>
      </c>
      <c r="K5" s="32">
        <f>L5/P5-1</f>
        <v>0.07355742182204539</v>
      </c>
      <c r="L5" s="18">
        <f>+L6+L12+L18+L23+L30+L34+L49+L54+L60+L66+L77+L78+L79</f>
        <v>174063.53000000003</v>
      </c>
      <c r="M5" s="18">
        <f>+L5-P5</f>
        <v>11926.390000000043</v>
      </c>
      <c r="N5" s="33">
        <f aca="true" t="shared" si="1" ref="N5:N64">+L5/12</f>
        <v>14505.294166666668</v>
      </c>
      <c r="O5" s="32">
        <f>P5/T5-1</f>
        <v>-0.09589906544849369</v>
      </c>
      <c r="P5" s="18">
        <f>+P6+P12+P18+P23+P30+P34+P49+P54+P60+P66+P77+P78+P79</f>
        <v>162137.13999999998</v>
      </c>
      <c r="Q5" s="18">
        <f>+P5-T5</f>
        <v>-17198.080000000016</v>
      </c>
      <c r="R5" s="33">
        <f aca="true" t="shared" si="2" ref="R5:R63">+P5/12</f>
        <v>13511.428333333331</v>
      </c>
      <c r="S5" s="32">
        <f>T5/X5-1</f>
        <v>-0.0843131420037685</v>
      </c>
      <c r="T5" s="18">
        <f>+T6+T12+T18+T23+T30+T34+T49+T54+T60+T66+T77+T78+T79</f>
        <v>179335.22</v>
      </c>
      <c r="U5" s="18">
        <f>+T5-X5</f>
        <v>-16512.53999999998</v>
      </c>
      <c r="V5" s="33">
        <f aca="true" t="shared" si="3" ref="V5:V21">+T5/12</f>
        <v>14944.601666666667</v>
      </c>
      <c r="W5" s="32">
        <f>X5/AB5-1</f>
        <v>0.05811640483321323</v>
      </c>
      <c r="X5" s="18">
        <f>+X6+X12+X18+X23+X30+X34+X49+X54+X60+X66+X77+X78+X79</f>
        <v>195847.75999999998</v>
      </c>
      <c r="Y5" s="18">
        <f>+X5-AB5</f>
        <v>10756.819999999978</v>
      </c>
      <c r="Z5" s="33">
        <f>+X5/12</f>
        <v>16320.646666666666</v>
      </c>
      <c r="AA5" s="32">
        <f>AB5/AF5-1</f>
        <v>-0.0891798571049589</v>
      </c>
      <c r="AB5" s="18">
        <f>+AB6+AB12+AB18+AB23+AB30+AB34+AB49+AB54+AB60+AB66+AB77+AB78+AB79</f>
        <v>185090.94</v>
      </c>
      <c r="AC5" s="18">
        <f aca="true" t="shared" si="4" ref="AC5:AC20">+AB5-AF5</f>
        <v>-18122.54999999999</v>
      </c>
      <c r="AD5" s="33">
        <f aca="true" t="shared" si="5" ref="AD5:AD20">+AB5/12</f>
        <v>15424.245</v>
      </c>
      <c r="AE5" s="32">
        <f>AF5/AJ5-1</f>
        <v>0.11226728022671661</v>
      </c>
      <c r="AF5" s="18">
        <f>+AF6+AF12+AF18+AF23+AF30+AF34+AF49+AF54+AF60+AF66+AF77+AF78+AF79</f>
        <v>203213.49</v>
      </c>
      <c r="AG5" s="18">
        <f>+AF5-AJ5</f>
        <v>20511.459999999992</v>
      </c>
      <c r="AH5" s="33">
        <f>+AF5/12</f>
        <v>16934.4575</v>
      </c>
      <c r="AI5" s="17">
        <f>+AJ5/AK5-1</f>
        <v>0.1631202291989846</v>
      </c>
      <c r="AJ5" s="18">
        <f>+AJ6+AJ12+AJ18+AJ23+AJ30+AJ34+AJ49+AJ54+AJ60+AJ66+AJ77+AJ78+AJ79</f>
        <v>182702.03</v>
      </c>
      <c r="AK5" s="18">
        <f>+AK6+AK12+AK18+AK23+AK30+AK34+AK49+AK54+AK60+AK66+AK77+AK78+AK79</f>
        <v>157079.22999999998</v>
      </c>
      <c r="AL5" s="19">
        <f>+AL6+AL12+AL18+AL23+AL30+AL34+AL49+AL54+AL60+AL66+AL77+AL78+AL79</f>
        <v>0</v>
      </c>
    </row>
    <row r="6" spans="1:38" s="20" customFormat="1" ht="15.75">
      <c r="A6" s="15"/>
      <c r="B6" s="16" t="s">
        <v>3</v>
      </c>
      <c r="C6" s="15"/>
      <c r="D6" s="16" t="s">
        <v>4</v>
      </c>
      <c r="E6" s="15"/>
      <c r="F6" s="15"/>
      <c r="G6" s="32">
        <f>H6/L6-1</f>
        <v>0.08018806060536465</v>
      </c>
      <c r="H6" s="18">
        <f>SUM(H7:H10)</f>
        <v>35745</v>
      </c>
      <c r="I6" s="18">
        <f aca="true" t="shared" si="6" ref="I6:I69">+H6-L6</f>
        <v>2653.540000000001</v>
      </c>
      <c r="J6" s="33">
        <f t="shared" si="0"/>
        <v>2978.75</v>
      </c>
      <c r="K6" s="32">
        <f>L6/P6-1</f>
        <v>-0.011285606638704704</v>
      </c>
      <c r="L6" s="18">
        <f>SUM(L7:L10)</f>
        <v>33091.46</v>
      </c>
      <c r="M6" s="18">
        <f aca="true" t="shared" si="7" ref="M6:M69">+L6-P6</f>
        <v>-377.72000000000116</v>
      </c>
      <c r="N6" s="33">
        <f t="shared" si="1"/>
        <v>2757.6216666666664</v>
      </c>
      <c r="O6" s="32">
        <f>P6/T6-1</f>
        <v>-0.07096120536507367</v>
      </c>
      <c r="P6" s="18">
        <f>SUM(P7:P10)</f>
        <v>33469.18</v>
      </c>
      <c r="Q6" s="18">
        <f aca="true" t="shared" si="8" ref="Q6:Q69">+P6-T6</f>
        <v>-2556.4199999999983</v>
      </c>
      <c r="R6" s="33">
        <f t="shared" si="2"/>
        <v>2789.0983333333334</v>
      </c>
      <c r="S6" s="32">
        <f>T6/X6-1</f>
        <v>-0.10692368656753781</v>
      </c>
      <c r="T6" s="18">
        <f>SUM(T7:T10)</f>
        <v>36025.6</v>
      </c>
      <c r="U6" s="18">
        <f aca="true" t="shared" si="9" ref="U6:U69">+T6-X6</f>
        <v>-4313.169999999998</v>
      </c>
      <c r="V6" s="33">
        <f t="shared" si="3"/>
        <v>3002.133333333333</v>
      </c>
      <c r="W6" s="32">
        <f aca="true" t="shared" si="10" ref="W6:W69">X6/AB6-1</f>
        <v>-0.025396750997947803</v>
      </c>
      <c r="X6" s="18">
        <f>SUM(X7:X10)</f>
        <v>40338.77</v>
      </c>
      <c r="Y6" s="18">
        <f aca="true" t="shared" si="11" ref="Y6:Y69">+X6-AB6</f>
        <v>-1051.1699999999983</v>
      </c>
      <c r="Z6" s="33">
        <f>+X6/12</f>
        <v>3361.5641666666666</v>
      </c>
      <c r="AA6" s="32">
        <f>AB6/AF6-1</f>
        <v>-0.17377499339258584</v>
      </c>
      <c r="AB6" s="18">
        <f>SUM(AB7:AB10)</f>
        <v>41389.939999999995</v>
      </c>
      <c r="AC6" s="18">
        <f t="shared" si="4"/>
        <v>-8705.300000000003</v>
      </c>
      <c r="AD6" s="33">
        <f t="shared" si="5"/>
        <v>3449.1616666666664</v>
      </c>
      <c r="AE6" s="32">
        <f>AF6/AJ6-1</f>
        <v>0.2239035188981573</v>
      </c>
      <c r="AF6" s="18">
        <f>SUM(AF7:AF10)</f>
        <v>50095.24</v>
      </c>
      <c r="AG6" s="18">
        <f>+AF6-AJ6</f>
        <v>9164.529999999999</v>
      </c>
      <c r="AH6" s="33">
        <f>+AF6/12</f>
        <v>4174.6033333333335</v>
      </c>
      <c r="AI6" s="17">
        <f aca="true" t="shared" si="12" ref="AI6:AI70">+AJ6/AK6-1</f>
        <v>0.20387557089712915</v>
      </c>
      <c r="AJ6" s="18">
        <f>SUM(AJ7:AJ10)</f>
        <v>40930.71</v>
      </c>
      <c r="AK6" s="18">
        <f>SUM(AK7:AK10)</f>
        <v>33999.119999999995</v>
      </c>
      <c r="AL6" s="19">
        <f>SUM(AL7:AL10)</f>
        <v>0</v>
      </c>
    </row>
    <row r="7" spans="1:38" ht="15.75">
      <c r="A7" s="12" t="s">
        <v>5</v>
      </c>
      <c r="B7" s="6"/>
      <c r="C7" s="12" t="s">
        <v>6</v>
      </c>
      <c r="D7" s="6"/>
      <c r="E7" s="6"/>
      <c r="F7" s="6"/>
      <c r="G7" s="34"/>
      <c r="H7" s="11"/>
      <c r="I7" s="18">
        <f t="shared" si="6"/>
        <v>0</v>
      </c>
      <c r="J7" s="35">
        <f t="shared" si="0"/>
        <v>0</v>
      </c>
      <c r="K7" s="34"/>
      <c r="L7" s="11"/>
      <c r="M7" s="18">
        <f t="shared" si="7"/>
        <v>0</v>
      </c>
      <c r="N7" s="35">
        <f t="shared" si="1"/>
        <v>0</v>
      </c>
      <c r="O7" s="34"/>
      <c r="P7" s="11"/>
      <c r="Q7" s="18">
        <f t="shared" si="8"/>
        <v>0</v>
      </c>
      <c r="R7" s="35">
        <f t="shared" si="2"/>
        <v>0</v>
      </c>
      <c r="S7" s="34"/>
      <c r="T7" s="11"/>
      <c r="U7" s="18">
        <f t="shared" si="9"/>
        <v>0</v>
      </c>
      <c r="V7" s="35">
        <f t="shared" si="3"/>
        <v>0</v>
      </c>
      <c r="W7" s="34"/>
      <c r="X7" s="11"/>
      <c r="Y7" s="18">
        <f t="shared" si="11"/>
        <v>0</v>
      </c>
      <c r="Z7" s="35">
        <f aca="true" t="shared" si="13" ref="Z7:Z72">+X7/12</f>
        <v>0</v>
      </c>
      <c r="AA7" s="34"/>
      <c r="AB7" s="11"/>
      <c r="AC7" s="18">
        <f t="shared" si="4"/>
        <v>0</v>
      </c>
      <c r="AD7" s="35">
        <f t="shared" si="5"/>
        <v>0</v>
      </c>
      <c r="AE7" s="34"/>
      <c r="AF7" s="11"/>
      <c r="AG7" s="18">
        <f aca="true" t="shared" si="14" ref="AG7:AG72">+AF7-AJ7</f>
        <v>0</v>
      </c>
      <c r="AH7" s="35">
        <f aca="true" t="shared" si="15" ref="AH7:AH72">+AF7/12</f>
        <v>0</v>
      </c>
      <c r="AI7" s="10">
        <f t="shared" si="12"/>
        <v>-1</v>
      </c>
      <c r="AJ7" s="11"/>
      <c r="AK7" s="11">
        <v>13039.84</v>
      </c>
      <c r="AL7" s="3"/>
    </row>
    <row r="8" spans="1:38" ht="15.75">
      <c r="A8" s="12" t="s">
        <v>7</v>
      </c>
      <c r="B8" s="6"/>
      <c r="C8" s="12" t="s">
        <v>8</v>
      </c>
      <c r="D8" s="6"/>
      <c r="E8" s="6" t="s">
        <v>7</v>
      </c>
      <c r="F8" s="6">
        <v>44977.49</v>
      </c>
      <c r="G8" s="34">
        <f>H8/L8-1</f>
        <v>0.08018806060536465</v>
      </c>
      <c r="H8" s="11">
        <f>36249.62-504.62</f>
        <v>35745</v>
      </c>
      <c r="I8" s="18">
        <f t="shared" si="6"/>
        <v>2653.540000000001</v>
      </c>
      <c r="J8" s="35">
        <f t="shared" si="0"/>
        <v>2978.75</v>
      </c>
      <c r="K8" s="34">
        <f>L8/P8-1</f>
        <v>-0.011285606638704704</v>
      </c>
      <c r="L8" s="11">
        <v>33091.46</v>
      </c>
      <c r="M8" s="18">
        <f t="shared" si="7"/>
        <v>-377.72000000000116</v>
      </c>
      <c r="N8" s="35">
        <f t="shared" si="1"/>
        <v>2757.6216666666664</v>
      </c>
      <c r="O8" s="34">
        <f>P8/T8-1</f>
        <v>-0.07096120536507367</v>
      </c>
      <c r="P8" s="11">
        <f>35969.18-2500</f>
        <v>33469.18</v>
      </c>
      <c r="Q8" s="18">
        <f t="shared" si="8"/>
        <v>-2556.4199999999983</v>
      </c>
      <c r="R8" s="35">
        <f t="shared" si="2"/>
        <v>2789.0983333333334</v>
      </c>
      <c r="S8" s="34">
        <f>T8/X8-1</f>
        <v>-0.08293934110702716</v>
      </c>
      <c r="T8" s="11">
        <v>36025.6</v>
      </c>
      <c r="U8" s="18">
        <f t="shared" si="9"/>
        <v>-3258.1699999999983</v>
      </c>
      <c r="V8" s="35">
        <f t="shared" si="3"/>
        <v>3002.133333333333</v>
      </c>
      <c r="W8" s="34">
        <f t="shared" si="10"/>
        <v>0.03313906852831261</v>
      </c>
      <c r="X8" s="11">
        <f>40533.77-1250</f>
        <v>39283.77</v>
      </c>
      <c r="Y8" s="18">
        <f t="shared" si="11"/>
        <v>1260.0699999999997</v>
      </c>
      <c r="Z8" s="35">
        <f t="shared" si="13"/>
        <v>3273.6474999999996</v>
      </c>
      <c r="AA8" s="34">
        <f>AB8/AF8-1</f>
        <v>-0.15460600402556923</v>
      </c>
      <c r="AB8" s="11">
        <v>38023.7</v>
      </c>
      <c r="AC8" s="18">
        <f t="shared" si="4"/>
        <v>-6953.790000000001</v>
      </c>
      <c r="AD8" s="35">
        <f t="shared" si="5"/>
        <v>3168.6416666666664</v>
      </c>
      <c r="AE8" s="34">
        <f>AF8/AJ8-1</f>
        <v>0.20571510830863948</v>
      </c>
      <c r="AF8" s="11">
        <v>44977.49</v>
      </c>
      <c r="AG8" s="18">
        <f t="shared" si="14"/>
        <v>7673.909999999996</v>
      </c>
      <c r="AH8" s="35">
        <f t="shared" si="15"/>
        <v>3748.1241666666665</v>
      </c>
      <c r="AI8" s="10">
        <f t="shared" si="12"/>
        <v>0.9701724448444271</v>
      </c>
      <c r="AJ8" s="11">
        <v>37303.58</v>
      </c>
      <c r="AK8" s="11">
        <v>18934.17</v>
      </c>
      <c r="AL8" s="3"/>
    </row>
    <row r="9" spans="1:38" ht="15.75">
      <c r="A9" s="12" t="s">
        <v>9</v>
      </c>
      <c r="B9" s="6"/>
      <c r="C9" s="12" t="s">
        <v>10</v>
      </c>
      <c r="D9" s="6"/>
      <c r="E9" s="6" t="s">
        <v>9</v>
      </c>
      <c r="F9" s="6">
        <v>5117.75</v>
      </c>
      <c r="G9" s="34" t="e">
        <f>H9/L9-1</f>
        <v>#DIV/0!</v>
      </c>
      <c r="H9" s="11"/>
      <c r="I9" s="18">
        <f t="shared" si="6"/>
        <v>0</v>
      </c>
      <c r="J9" s="35">
        <f t="shared" si="0"/>
        <v>0</v>
      </c>
      <c r="K9" s="34" t="e">
        <f>L9/P9-1</f>
        <v>#DIV/0!</v>
      </c>
      <c r="L9" s="11"/>
      <c r="M9" s="18">
        <f t="shared" si="7"/>
        <v>0</v>
      </c>
      <c r="N9" s="35">
        <f t="shared" si="1"/>
        <v>0</v>
      </c>
      <c r="O9" s="34" t="e">
        <f>P9/T9-1</f>
        <v>#DIV/0!</v>
      </c>
      <c r="P9" s="11"/>
      <c r="Q9" s="18">
        <f t="shared" si="8"/>
        <v>0</v>
      </c>
      <c r="R9" s="35">
        <f t="shared" si="2"/>
        <v>0</v>
      </c>
      <c r="S9" s="34">
        <f>T9/X9-1</f>
        <v>-1</v>
      </c>
      <c r="T9" s="11"/>
      <c r="U9" s="18">
        <f t="shared" si="9"/>
        <v>-1055</v>
      </c>
      <c r="V9" s="35">
        <f t="shared" si="3"/>
        <v>0</v>
      </c>
      <c r="W9" s="34">
        <f t="shared" si="10"/>
        <v>-0.6865939445791149</v>
      </c>
      <c r="X9" s="11">
        <v>1055</v>
      </c>
      <c r="Y9" s="18">
        <f t="shared" si="11"/>
        <v>-2311.24</v>
      </c>
      <c r="Z9" s="35">
        <f t="shared" si="13"/>
        <v>87.91666666666667</v>
      </c>
      <c r="AA9" s="34">
        <f>AB9/AF9-1</f>
        <v>-0.34224219627766117</v>
      </c>
      <c r="AB9" s="11">
        <v>3366.24</v>
      </c>
      <c r="AC9" s="18">
        <f t="shared" si="4"/>
        <v>-1751.5100000000002</v>
      </c>
      <c r="AD9" s="35">
        <f t="shared" si="5"/>
        <v>280.52</v>
      </c>
      <c r="AE9" s="34">
        <f>AF9/AJ9-1</f>
        <v>0.4109640404396864</v>
      </c>
      <c r="AF9" s="11">
        <v>5117.75</v>
      </c>
      <c r="AG9" s="18">
        <f t="shared" si="14"/>
        <v>1490.62</v>
      </c>
      <c r="AH9" s="35">
        <f t="shared" si="15"/>
        <v>426.4791666666667</v>
      </c>
      <c r="AI9" s="10">
        <f t="shared" si="12"/>
        <v>0.7910780155152066</v>
      </c>
      <c r="AJ9" s="11">
        <v>3627.13</v>
      </c>
      <c r="AK9" s="11">
        <v>2025.11</v>
      </c>
      <c r="AL9" s="3"/>
    </row>
    <row r="10" spans="1:38" ht="15.75">
      <c r="A10" s="6"/>
      <c r="B10" s="9" t="s">
        <v>11</v>
      </c>
      <c r="C10" s="6"/>
      <c r="D10" s="9" t="s">
        <v>12</v>
      </c>
      <c r="E10" s="6"/>
      <c r="F10" s="6"/>
      <c r="G10" s="34"/>
      <c r="H10" s="11">
        <f>+H11</f>
        <v>0</v>
      </c>
      <c r="I10" s="18">
        <f t="shared" si="6"/>
        <v>0</v>
      </c>
      <c r="J10" s="35">
        <f t="shared" si="0"/>
        <v>0</v>
      </c>
      <c r="K10" s="34"/>
      <c r="L10" s="11">
        <f>+L11</f>
        <v>0</v>
      </c>
      <c r="M10" s="18">
        <f t="shared" si="7"/>
        <v>0</v>
      </c>
      <c r="N10" s="35">
        <f t="shared" si="1"/>
        <v>0</v>
      </c>
      <c r="O10" s="34"/>
      <c r="P10" s="11">
        <f>+P11</f>
        <v>0</v>
      </c>
      <c r="Q10" s="18">
        <f t="shared" si="8"/>
        <v>0</v>
      </c>
      <c r="R10" s="35">
        <f t="shared" si="2"/>
        <v>0</v>
      </c>
      <c r="S10" s="34"/>
      <c r="T10" s="11">
        <f>+T11</f>
        <v>0</v>
      </c>
      <c r="U10" s="18">
        <f t="shared" si="9"/>
        <v>0</v>
      </c>
      <c r="V10" s="35">
        <f t="shared" si="3"/>
        <v>0</v>
      </c>
      <c r="W10" s="34"/>
      <c r="X10" s="11">
        <f>+X11</f>
        <v>0</v>
      </c>
      <c r="Y10" s="18">
        <f t="shared" si="11"/>
        <v>0</v>
      </c>
      <c r="Z10" s="35">
        <f t="shared" si="13"/>
        <v>0</v>
      </c>
      <c r="AA10" s="34"/>
      <c r="AB10" s="11">
        <f>+AB11</f>
        <v>0</v>
      </c>
      <c r="AC10" s="18">
        <f t="shared" si="4"/>
        <v>0</v>
      </c>
      <c r="AD10" s="35">
        <f t="shared" si="5"/>
        <v>0</v>
      </c>
      <c r="AE10" s="34"/>
      <c r="AF10" s="11">
        <f>+AF11</f>
        <v>0</v>
      </c>
      <c r="AG10" s="18">
        <f t="shared" si="14"/>
        <v>0</v>
      </c>
      <c r="AH10" s="35">
        <f t="shared" si="15"/>
        <v>0</v>
      </c>
      <c r="AI10" s="10"/>
      <c r="AJ10" s="11">
        <f>+AJ11</f>
        <v>0</v>
      </c>
      <c r="AK10" s="11">
        <f>+AK11</f>
        <v>0</v>
      </c>
      <c r="AL10" s="3">
        <f>+AL11</f>
        <v>0</v>
      </c>
    </row>
    <row r="11" spans="1:38" ht="15.75">
      <c r="A11" s="12" t="s">
        <v>13</v>
      </c>
      <c r="B11" s="6"/>
      <c r="C11" s="12" t="s">
        <v>14</v>
      </c>
      <c r="D11" s="6"/>
      <c r="E11" s="6"/>
      <c r="F11" s="6"/>
      <c r="G11" s="34"/>
      <c r="H11" s="11"/>
      <c r="I11" s="18">
        <f t="shared" si="6"/>
        <v>0</v>
      </c>
      <c r="J11" s="35">
        <f t="shared" si="0"/>
        <v>0</v>
      </c>
      <c r="K11" s="34"/>
      <c r="L11" s="11"/>
      <c r="M11" s="18">
        <f t="shared" si="7"/>
        <v>0</v>
      </c>
      <c r="N11" s="35">
        <f t="shared" si="1"/>
        <v>0</v>
      </c>
      <c r="O11" s="34"/>
      <c r="P11" s="11"/>
      <c r="Q11" s="18">
        <f t="shared" si="8"/>
        <v>0</v>
      </c>
      <c r="R11" s="35">
        <f t="shared" si="2"/>
        <v>0</v>
      </c>
      <c r="S11" s="34"/>
      <c r="T11" s="11"/>
      <c r="U11" s="18">
        <f t="shared" si="9"/>
        <v>0</v>
      </c>
      <c r="V11" s="35">
        <f t="shared" si="3"/>
        <v>0</v>
      </c>
      <c r="W11" s="34"/>
      <c r="X11" s="11"/>
      <c r="Y11" s="18">
        <f t="shared" si="11"/>
        <v>0</v>
      </c>
      <c r="Z11" s="35">
        <f t="shared" si="13"/>
        <v>0</v>
      </c>
      <c r="AA11" s="34"/>
      <c r="AB11" s="11"/>
      <c r="AC11" s="18">
        <f t="shared" si="4"/>
        <v>0</v>
      </c>
      <c r="AD11" s="35">
        <f t="shared" si="5"/>
        <v>0</v>
      </c>
      <c r="AE11" s="34"/>
      <c r="AF11" s="11"/>
      <c r="AG11" s="18">
        <f t="shared" si="14"/>
        <v>0</v>
      </c>
      <c r="AH11" s="35">
        <f t="shared" si="15"/>
        <v>0</v>
      </c>
      <c r="AI11" s="10"/>
      <c r="AJ11" s="11"/>
      <c r="AK11" s="11"/>
      <c r="AL11" s="3"/>
    </row>
    <row r="12" spans="1:38" s="20" customFormat="1" ht="15.75">
      <c r="A12" s="15"/>
      <c r="B12" s="16" t="s">
        <v>15</v>
      </c>
      <c r="C12" s="15"/>
      <c r="D12" s="16" t="s">
        <v>16</v>
      </c>
      <c r="E12" s="15"/>
      <c r="F12" s="15"/>
      <c r="G12" s="32">
        <f>H12/L12-1</f>
        <v>0.08635646687697163</v>
      </c>
      <c r="H12" s="18">
        <f>SUM(H13:H17)</f>
        <v>13775</v>
      </c>
      <c r="I12" s="18">
        <f t="shared" si="6"/>
        <v>1095</v>
      </c>
      <c r="J12" s="33">
        <f t="shared" si="0"/>
        <v>1147.9166666666667</v>
      </c>
      <c r="K12" s="32">
        <f>L12/P12-1</f>
        <v>0.010761259465922768</v>
      </c>
      <c r="L12" s="18">
        <f>SUM(L13:L17)</f>
        <v>12680</v>
      </c>
      <c r="M12" s="18">
        <f t="shared" si="7"/>
        <v>135</v>
      </c>
      <c r="N12" s="33">
        <f t="shared" si="1"/>
        <v>1056.6666666666667</v>
      </c>
      <c r="O12" s="32">
        <f>P12/T12-1</f>
        <v>0.04411152725759471</v>
      </c>
      <c r="P12" s="18">
        <f>SUM(P13:P17)</f>
        <v>12545</v>
      </c>
      <c r="Q12" s="18">
        <f t="shared" si="8"/>
        <v>530</v>
      </c>
      <c r="R12" s="33">
        <f t="shared" si="2"/>
        <v>1045.4166666666667</v>
      </c>
      <c r="S12" s="32">
        <f>T12/X12-1</f>
        <v>-0.2508183943881528</v>
      </c>
      <c r="T12" s="18">
        <f>SUM(T13:T17)</f>
        <v>12015</v>
      </c>
      <c r="U12" s="18">
        <f t="shared" si="9"/>
        <v>-4022.5</v>
      </c>
      <c r="V12" s="33">
        <f t="shared" si="3"/>
        <v>1001.25</v>
      </c>
      <c r="W12" s="32">
        <f t="shared" si="10"/>
        <v>-0.10799949942294584</v>
      </c>
      <c r="X12" s="18">
        <f>SUM(X13:X17)</f>
        <v>16037.5</v>
      </c>
      <c r="Y12" s="18">
        <f t="shared" si="11"/>
        <v>-1941.75</v>
      </c>
      <c r="Z12" s="33">
        <f t="shared" si="13"/>
        <v>1336.4583333333333</v>
      </c>
      <c r="AA12" s="32">
        <f aca="true" t="shared" si="16" ref="AA12:AA18">AB12/AF12-1</f>
        <v>0.40025311526479745</v>
      </c>
      <c r="AB12" s="18">
        <f>SUM(AB13:AB17)</f>
        <v>17979.25</v>
      </c>
      <c r="AC12" s="18">
        <f t="shared" si="4"/>
        <v>5139.25</v>
      </c>
      <c r="AD12" s="33">
        <f t="shared" si="5"/>
        <v>1498.2708333333333</v>
      </c>
      <c r="AE12" s="32">
        <f aca="true" t="shared" si="17" ref="AE12:AE18">AF12/AJ12-1</f>
        <v>-0.37369031034523126</v>
      </c>
      <c r="AF12" s="18">
        <f>SUM(AF13:AF17)</f>
        <v>12840</v>
      </c>
      <c r="AG12" s="18">
        <f t="shared" si="14"/>
        <v>-7661.040000000001</v>
      </c>
      <c r="AH12" s="33">
        <f t="shared" si="15"/>
        <v>1070</v>
      </c>
      <c r="AI12" s="17">
        <f t="shared" si="12"/>
        <v>0.24197542830833374</v>
      </c>
      <c r="AJ12" s="18">
        <f>SUM(AJ13:AJ17)</f>
        <v>20501.04</v>
      </c>
      <c r="AK12" s="18">
        <f>SUM(AK13:AK17)</f>
        <v>16506.8</v>
      </c>
      <c r="AL12" s="19">
        <f>SUM(AL13:AL17)</f>
        <v>0</v>
      </c>
    </row>
    <row r="13" spans="1:38" ht="15.75">
      <c r="A13" s="12" t="s">
        <v>17</v>
      </c>
      <c r="B13" s="6"/>
      <c r="C13" s="12" t="s">
        <v>18</v>
      </c>
      <c r="D13" s="6"/>
      <c r="E13" s="6" t="s">
        <v>17</v>
      </c>
      <c r="F13" s="6">
        <v>130</v>
      </c>
      <c r="G13" s="34"/>
      <c r="H13" s="11"/>
      <c r="I13" s="18">
        <f t="shared" si="6"/>
        <v>0</v>
      </c>
      <c r="J13" s="35">
        <f t="shared" si="0"/>
        <v>0</v>
      </c>
      <c r="K13" s="34"/>
      <c r="L13" s="11"/>
      <c r="M13" s="18">
        <f t="shared" si="7"/>
        <v>0</v>
      </c>
      <c r="N13" s="35">
        <f t="shared" si="1"/>
        <v>0</v>
      </c>
      <c r="O13" s="34"/>
      <c r="P13" s="11"/>
      <c r="Q13" s="18">
        <f t="shared" si="8"/>
        <v>0</v>
      </c>
      <c r="R13" s="35">
        <f t="shared" si="2"/>
        <v>0</v>
      </c>
      <c r="S13" s="34"/>
      <c r="T13" s="11"/>
      <c r="U13" s="18">
        <f t="shared" si="9"/>
        <v>0</v>
      </c>
      <c r="V13" s="35">
        <f t="shared" si="3"/>
        <v>0</v>
      </c>
      <c r="W13" s="34"/>
      <c r="X13" s="11"/>
      <c r="Y13" s="18">
        <f t="shared" si="11"/>
        <v>0</v>
      </c>
      <c r="Z13" s="35">
        <f t="shared" si="13"/>
        <v>0</v>
      </c>
      <c r="AA13" s="34">
        <f t="shared" si="16"/>
        <v>-1</v>
      </c>
      <c r="AB13" s="11"/>
      <c r="AC13" s="18">
        <f t="shared" si="4"/>
        <v>-130</v>
      </c>
      <c r="AD13" s="35">
        <f t="shared" si="5"/>
        <v>0</v>
      </c>
      <c r="AE13" s="34">
        <f t="shared" si="17"/>
        <v>1.6</v>
      </c>
      <c r="AF13" s="11">
        <v>130</v>
      </c>
      <c r="AG13" s="18">
        <f t="shared" si="14"/>
        <v>80</v>
      </c>
      <c r="AH13" s="35">
        <f t="shared" si="15"/>
        <v>10.833333333333334</v>
      </c>
      <c r="AI13" s="10">
        <f t="shared" si="12"/>
        <v>-0.8876404494382022</v>
      </c>
      <c r="AJ13" s="11">
        <v>50</v>
      </c>
      <c r="AK13" s="11">
        <v>445</v>
      </c>
      <c r="AL13" s="3"/>
    </row>
    <row r="14" spans="1:38" ht="15.75">
      <c r="A14" s="12" t="s">
        <v>19</v>
      </c>
      <c r="B14" s="6"/>
      <c r="C14" s="12" t="s">
        <v>20</v>
      </c>
      <c r="D14" s="6"/>
      <c r="E14" s="6"/>
      <c r="F14" s="6"/>
      <c r="G14" s="34" t="e">
        <f>H14/L14-1</f>
        <v>#DIV/0!</v>
      </c>
      <c r="H14" s="11"/>
      <c r="I14" s="18">
        <f t="shared" si="6"/>
        <v>0</v>
      </c>
      <c r="J14" s="35">
        <f t="shared" si="0"/>
        <v>0</v>
      </c>
      <c r="K14" s="34" t="e">
        <f>L14/P14-1</f>
        <v>#DIV/0!</v>
      </c>
      <c r="L14" s="11"/>
      <c r="M14" s="18">
        <f t="shared" si="7"/>
        <v>0</v>
      </c>
      <c r="N14" s="35">
        <f t="shared" si="1"/>
        <v>0</v>
      </c>
      <c r="O14" s="34" t="e">
        <f>P14/T14-1</f>
        <v>#DIV/0!</v>
      </c>
      <c r="P14" s="11"/>
      <c r="Q14" s="18">
        <f t="shared" si="8"/>
        <v>0</v>
      </c>
      <c r="R14" s="35">
        <f t="shared" si="2"/>
        <v>0</v>
      </c>
      <c r="S14" s="34" t="e">
        <f>T14/X14-1</f>
        <v>#DIV/0!</v>
      </c>
      <c r="T14" s="11"/>
      <c r="U14" s="18">
        <f t="shared" si="9"/>
        <v>0</v>
      </c>
      <c r="V14" s="35">
        <f t="shared" si="3"/>
        <v>0</v>
      </c>
      <c r="W14" s="34">
        <f t="shared" si="10"/>
        <v>-1</v>
      </c>
      <c r="X14" s="11"/>
      <c r="Y14" s="18">
        <f t="shared" si="11"/>
        <v>-160</v>
      </c>
      <c r="Z14" s="35">
        <f t="shared" si="13"/>
        <v>0</v>
      </c>
      <c r="AA14" s="34" t="e">
        <f t="shared" si="16"/>
        <v>#DIV/0!</v>
      </c>
      <c r="AB14" s="11">
        <v>160</v>
      </c>
      <c r="AC14" s="18">
        <f t="shared" si="4"/>
        <v>160</v>
      </c>
      <c r="AD14" s="35">
        <f t="shared" si="5"/>
        <v>13.333333333333334</v>
      </c>
      <c r="AE14" s="34">
        <f t="shared" si="17"/>
        <v>-1</v>
      </c>
      <c r="AF14" s="11"/>
      <c r="AG14" s="18">
        <f t="shared" si="14"/>
        <v>-30</v>
      </c>
      <c r="AH14" s="35">
        <f t="shared" si="15"/>
        <v>0</v>
      </c>
      <c r="AI14" s="10">
        <f t="shared" si="12"/>
        <v>-0.9375</v>
      </c>
      <c r="AJ14" s="11">
        <v>30</v>
      </c>
      <c r="AK14" s="11">
        <v>480</v>
      </c>
      <c r="AL14" s="3"/>
    </row>
    <row r="15" spans="1:38" ht="15.75">
      <c r="A15" s="12" t="s">
        <v>21</v>
      </c>
      <c r="B15" s="6"/>
      <c r="C15" s="12" t="s">
        <v>22</v>
      </c>
      <c r="D15" s="6"/>
      <c r="E15" s="6" t="s">
        <v>21</v>
      </c>
      <c r="F15" s="6">
        <v>12200</v>
      </c>
      <c r="G15" s="34">
        <f>H15/L15-1</f>
        <v>0.11277231952157196</v>
      </c>
      <c r="H15" s="11">
        <v>13025</v>
      </c>
      <c r="I15" s="18">
        <f t="shared" si="6"/>
        <v>1320</v>
      </c>
      <c r="J15" s="35">
        <f t="shared" si="0"/>
        <v>1085.4166666666667</v>
      </c>
      <c r="K15" s="34">
        <f>L15/P15-1</f>
        <v>-0.035831960461285006</v>
      </c>
      <c r="L15" s="11">
        <v>11705</v>
      </c>
      <c r="M15" s="18">
        <f t="shared" si="7"/>
        <v>-435</v>
      </c>
      <c r="N15" s="35">
        <f t="shared" si="1"/>
        <v>975.4166666666666</v>
      </c>
      <c r="O15" s="34">
        <f>P15/T15-1</f>
        <v>0.043852106620808184</v>
      </c>
      <c r="P15" s="11">
        <v>12140</v>
      </c>
      <c r="Q15" s="18">
        <f t="shared" si="8"/>
        <v>510</v>
      </c>
      <c r="R15" s="35">
        <f t="shared" si="2"/>
        <v>1011.6666666666666</v>
      </c>
      <c r="S15" s="34">
        <f>T15/X15-1</f>
        <v>-0.21749369217830106</v>
      </c>
      <c r="T15" s="11">
        <v>11630</v>
      </c>
      <c r="U15" s="18">
        <f t="shared" si="9"/>
        <v>-3232.5</v>
      </c>
      <c r="V15" s="35">
        <f t="shared" si="3"/>
        <v>969.1666666666666</v>
      </c>
      <c r="W15" s="34">
        <f t="shared" si="10"/>
        <v>0.019026396983201854</v>
      </c>
      <c r="X15" s="11">
        <v>14862.5</v>
      </c>
      <c r="Y15" s="18">
        <f t="shared" si="11"/>
        <v>277.5</v>
      </c>
      <c r="Z15" s="35">
        <f t="shared" si="13"/>
        <v>1238.5416666666667</v>
      </c>
      <c r="AA15" s="34">
        <f t="shared" si="16"/>
        <v>0.19549180327868854</v>
      </c>
      <c r="AB15" s="11">
        <v>14585</v>
      </c>
      <c r="AC15" s="18">
        <f t="shared" si="4"/>
        <v>2385</v>
      </c>
      <c r="AD15" s="35">
        <f t="shared" si="5"/>
        <v>1215.4166666666667</v>
      </c>
      <c r="AE15" s="34">
        <f t="shared" si="17"/>
        <v>-0.2078950785612258</v>
      </c>
      <c r="AF15" s="11">
        <v>12200</v>
      </c>
      <c r="AG15" s="18">
        <f t="shared" si="14"/>
        <v>-3202</v>
      </c>
      <c r="AH15" s="35">
        <f t="shared" si="15"/>
        <v>1016.6666666666666</v>
      </c>
      <c r="AI15" s="10">
        <f t="shared" si="12"/>
        <v>0.07043819717135213</v>
      </c>
      <c r="AJ15" s="11">
        <v>15402</v>
      </c>
      <c r="AK15" s="11">
        <v>14388.5</v>
      </c>
      <c r="AL15" s="3"/>
    </row>
    <row r="16" spans="1:38" ht="15.75">
      <c r="A16" s="12" t="s">
        <v>23</v>
      </c>
      <c r="B16" s="6"/>
      <c r="C16" s="12" t="s">
        <v>24</v>
      </c>
      <c r="D16" s="6"/>
      <c r="E16" s="6" t="s">
        <v>23</v>
      </c>
      <c r="F16" s="6">
        <v>510</v>
      </c>
      <c r="G16" s="34">
        <f>H16/L16-1</f>
        <v>0.08695652173913038</v>
      </c>
      <c r="H16" s="11">
        <v>750</v>
      </c>
      <c r="I16" s="18">
        <f t="shared" si="6"/>
        <v>60</v>
      </c>
      <c r="J16" s="35">
        <f t="shared" si="0"/>
        <v>62.5</v>
      </c>
      <c r="K16" s="34">
        <f>L16/P16-1</f>
        <v>0.7037037037037037</v>
      </c>
      <c r="L16" s="11">
        <v>690</v>
      </c>
      <c r="M16" s="18">
        <f t="shared" si="7"/>
        <v>285</v>
      </c>
      <c r="N16" s="35">
        <f t="shared" si="1"/>
        <v>57.5</v>
      </c>
      <c r="O16" s="34">
        <f>P16/T16-1</f>
        <v>0.051948051948051965</v>
      </c>
      <c r="P16" s="11">
        <v>405</v>
      </c>
      <c r="Q16" s="18">
        <f t="shared" si="8"/>
        <v>20</v>
      </c>
      <c r="R16" s="35">
        <f t="shared" si="2"/>
        <v>33.75</v>
      </c>
      <c r="S16" s="34">
        <f>T16/X16-1</f>
        <v>-0.672340425531915</v>
      </c>
      <c r="T16" s="11">
        <v>385</v>
      </c>
      <c r="U16" s="18">
        <f t="shared" si="9"/>
        <v>-790</v>
      </c>
      <c r="V16" s="35">
        <f t="shared" si="3"/>
        <v>32.083333333333336</v>
      </c>
      <c r="W16" s="34">
        <f t="shared" si="10"/>
        <v>0.19897959183673475</v>
      </c>
      <c r="X16" s="11">
        <v>1175</v>
      </c>
      <c r="Y16" s="18">
        <f t="shared" si="11"/>
        <v>195</v>
      </c>
      <c r="Z16" s="35">
        <f t="shared" si="13"/>
        <v>97.91666666666667</v>
      </c>
      <c r="AA16" s="34">
        <f t="shared" si="16"/>
        <v>0.9215686274509804</v>
      </c>
      <c r="AB16" s="11">
        <v>980</v>
      </c>
      <c r="AC16" s="18">
        <f t="shared" si="4"/>
        <v>470</v>
      </c>
      <c r="AD16" s="35">
        <f t="shared" si="5"/>
        <v>81.66666666666667</v>
      </c>
      <c r="AE16" s="34">
        <f t="shared" si="17"/>
        <v>-0.5870445344129555</v>
      </c>
      <c r="AF16" s="11">
        <v>510</v>
      </c>
      <c r="AG16" s="18">
        <f t="shared" si="14"/>
        <v>-725</v>
      </c>
      <c r="AH16" s="35">
        <f t="shared" si="15"/>
        <v>42.5</v>
      </c>
      <c r="AI16" s="10">
        <f t="shared" si="12"/>
        <v>0.3027426160337552</v>
      </c>
      <c r="AJ16" s="11">
        <v>1235</v>
      </c>
      <c r="AK16" s="11">
        <v>948</v>
      </c>
      <c r="AL16" s="3"/>
    </row>
    <row r="17" spans="1:38" ht="15.75">
      <c r="A17" s="12" t="s">
        <v>25</v>
      </c>
      <c r="B17" s="6"/>
      <c r="C17" s="12" t="s">
        <v>26</v>
      </c>
      <c r="D17" s="6"/>
      <c r="E17" s="6"/>
      <c r="F17" s="6"/>
      <c r="G17" s="34">
        <f>H17/L17-1</f>
        <v>-1</v>
      </c>
      <c r="H17" s="11"/>
      <c r="I17" s="18">
        <f t="shared" si="6"/>
        <v>-285</v>
      </c>
      <c r="J17" s="35">
        <f t="shared" si="0"/>
        <v>0</v>
      </c>
      <c r="K17" s="34" t="e">
        <f>L17/P17-1</f>
        <v>#DIV/0!</v>
      </c>
      <c r="L17" s="11">
        <v>285</v>
      </c>
      <c r="M17" s="18">
        <f t="shared" si="7"/>
        <v>285</v>
      </c>
      <c r="N17" s="35">
        <f t="shared" si="1"/>
        <v>23.75</v>
      </c>
      <c r="O17" s="34" t="e">
        <f>P17/T17-1</f>
        <v>#DIV/0!</v>
      </c>
      <c r="P17" s="11"/>
      <c r="Q17" s="18">
        <f t="shared" si="8"/>
        <v>0</v>
      </c>
      <c r="R17" s="35">
        <f t="shared" si="2"/>
        <v>0</v>
      </c>
      <c r="S17" s="34" t="e">
        <f>T17/X17-1</f>
        <v>#DIV/0!</v>
      </c>
      <c r="T17" s="11"/>
      <c r="U17" s="18">
        <f t="shared" si="9"/>
        <v>0</v>
      </c>
      <c r="V17" s="35">
        <f t="shared" si="3"/>
        <v>0</v>
      </c>
      <c r="W17" s="34">
        <f t="shared" si="10"/>
        <v>-1</v>
      </c>
      <c r="X17" s="11"/>
      <c r="Y17" s="18">
        <f t="shared" si="11"/>
        <v>-2254.25</v>
      </c>
      <c r="Z17" s="35">
        <f t="shared" si="13"/>
        <v>0</v>
      </c>
      <c r="AA17" s="34" t="e">
        <f t="shared" si="16"/>
        <v>#DIV/0!</v>
      </c>
      <c r="AB17" s="11">
        <v>2254.25</v>
      </c>
      <c r="AC17" s="18">
        <f t="shared" si="4"/>
        <v>2254.25</v>
      </c>
      <c r="AD17" s="35">
        <f t="shared" si="5"/>
        <v>187.85416666666666</v>
      </c>
      <c r="AE17" s="34">
        <f t="shared" si="17"/>
        <v>-1</v>
      </c>
      <c r="AF17" s="11"/>
      <c r="AG17" s="18">
        <f t="shared" si="14"/>
        <v>-3784.04</v>
      </c>
      <c r="AH17" s="35">
        <f t="shared" si="15"/>
        <v>0</v>
      </c>
      <c r="AI17" s="10">
        <f t="shared" si="12"/>
        <v>14.426172034243782</v>
      </c>
      <c r="AJ17" s="11">
        <v>3784.04</v>
      </c>
      <c r="AK17" s="11">
        <v>245.3</v>
      </c>
      <c r="AL17" s="3"/>
    </row>
    <row r="18" spans="1:38" s="20" customFormat="1" ht="15.75">
      <c r="A18" s="15"/>
      <c r="B18" s="16" t="s">
        <v>27</v>
      </c>
      <c r="C18" s="15"/>
      <c r="D18" s="16" t="s">
        <v>28</v>
      </c>
      <c r="E18" s="15"/>
      <c r="F18" s="15"/>
      <c r="G18" s="32">
        <f>H18/L18-1</f>
        <v>0.44418554718649794</v>
      </c>
      <c r="H18" s="18">
        <f>SUM(H19:H22)</f>
        <v>35043.61</v>
      </c>
      <c r="I18" s="18">
        <f t="shared" si="6"/>
        <v>10778.3</v>
      </c>
      <c r="J18" s="33">
        <f t="shared" si="0"/>
        <v>2920.3008333333332</v>
      </c>
      <c r="K18" s="32">
        <f>L18/P18-1</f>
        <v>0.13404772987716074</v>
      </c>
      <c r="L18" s="18">
        <f>SUM(L19:L22)</f>
        <v>24265.31</v>
      </c>
      <c r="M18" s="18">
        <f t="shared" si="7"/>
        <v>2868.2299999999996</v>
      </c>
      <c r="N18" s="33">
        <f t="shared" si="1"/>
        <v>2022.1091666666669</v>
      </c>
      <c r="O18" s="32">
        <f>P18/T18-1</f>
        <v>-0.19521213755626288</v>
      </c>
      <c r="P18" s="18">
        <f>SUM(P19:P22)</f>
        <v>21397.08</v>
      </c>
      <c r="Q18" s="18">
        <f t="shared" si="8"/>
        <v>-5190.149999999998</v>
      </c>
      <c r="R18" s="33">
        <f t="shared" si="2"/>
        <v>1783.0900000000001</v>
      </c>
      <c r="S18" s="32">
        <f>T18/X18-1</f>
        <v>0.6207644050614083</v>
      </c>
      <c r="T18" s="18">
        <f>SUM(T19:T22)</f>
        <v>26587.23</v>
      </c>
      <c r="U18" s="18">
        <f t="shared" si="9"/>
        <v>10183.099999999999</v>
      </c>
      <c r="V18" s="33">
        <f t="shared" si="3"/>
        <v>2215.6025</v>
      </c>
      <c r="W18" s="32">
        <f t="shared" si="10"/>
        <v>0.27458236857236096</v>
      </c>
      <c r="X18" s="18">
        <f>SUM(X19:X22)</f>
        <v>16404.13</v>
      </c>
      <c r="Y18" s="18">
        <f t="shared" si="11"/>
        <v>3533.9300000000003</v>
      </c>
      <c r="Z18" s="33">
        <f t="shared" si="13"/>
        <v>1367.0108333333335</v>
      </c>
      <c r="AA18" s="32">
        <f t="shared" si="16"/>
        <v>0.7017321168848341</v>
      </c>
      <c r="AB18" s="18">
        <f>SUM(AB19:AB22)</f>
        <v>12870.2</v>
      </c>
      <c r="AC18" s="18">
        <f t="shared" si="4"/>
        <v>5307.200000000001</v>
      </c>
      <c r="AD18" s="33">
        <f t="shared" si="5"/>
        <v>1072.5166666666667</v>
      </c>
      <c r="AE18" s="32">
        <f t="shared" si="17"/>
        <v>2.408599242833964</v>
      </c>
      <c r="AF18" s="18">
        <f>SUM(AF19:AF22)</f>
        <v>7563</v>
      </c>
      <c r="AG18" s="18">
        <f t="shared" si="14"/>
        <v>5344.2</v>
      </c>
      <c r="AH18" s="33">
        <f t="shared" si="15"/>
        <v>630.25</v>
      </c>
      <c r="AI18" s="17">
        <f t="shared" si="12"/>
        <v>1.2188000000000003</v>
      </c>
      <c r="AJ18" s="18">
        <f>SUM(AJ19:AJ22)</f>
        <v>2218.8</v>
      </c>
      <c r="AK18" s="18">
        <f>SUM(AK19:AK22)</f>
        <v>1000</v>
      </c>
      <c r="AL18" s="19">
        <f>SUM(AL19:AL22)</f>
        <v>0</v>
      </c>
    </row>
    <row r="19" spans="1:38" ht="15.75">
      <c r="A19" s="12" t="s">
        <v>29</v>
      </c>
      <c r="B19" s="6"/>
      <c r="C19" s="12" t="s">
        <v>30</v>
      </c>
      <c r="D19" s="6"/>
      <c r="E19" s="6"/>
      <c r="F19" s="6"/>
      <c r="G19" s="34"/>
      <c r="H19" s="11"/>
      <c r="I19" s="18">
        <f t="shared" si="6"/>
        <v>0</v>
      </c>
      <c r="J19" s="35">
        <f t="shared" si="0"/>
        <v>0</v>
      </c>
      <c r="K19" s="34"/>
      <c r="L19" s="11"/>
      <c r="M19" s="18">
        <f t="shared" si="7"/>
        <v>0</v>
      </c>
      <c r="N19" s="35">
        <f t="shared" si="1"/>
        <v>0</v>
      </c>
      <c r="O19" s="34"/>
      <c r="P19" s="11"/>
      <c r="Q19" s="18">
        <f t="shared" si="8"/>
        <v>0</v>
      </c>
      <c r="R19" s="35">
        <f t="shared" si="2"/>
        <v>0</v>
      </c>
      <c r="S19" s="34"/>
      <c r="T19" s="11"/>
      <c r="U19" s="18">
        <f t="shared" si="9"/>
        <v>-5244.93</v>
      </c>
      <c r="V19" s="35">
        <f t="shared" si="3"/>
        <v>0</v>
      </c>
      <c r="W19" s="34"/>
      <c r="X19" s="11">
        <v>5244.93</v>
      </c>
      <c r="Y19" s="18">
        <f t="shared" si="11"/>
        <v>5244.93</v>
      </c>
      <c r="Z19" s="35">
        <f t="shared" si="13"/>
        <v>437.07750000000004</v>
      </c>
      <c r="AA19" s="34"/>
      <c r="AB19" s="11"/>
      <c r="AC19" s="18">
        <f t="shared" si="4"/>
        <v>0</v>
      </c>
      <c r="AD19" s="35">
        <f t="shared" si="5"/>
        <v>0</v>
      </c>
      <c r="AE19" s="34"/>
      <c r="AF19" s="11"/>
      <c r="AG19" s="18">
        <f t="shared" si="14"/>
        <v>0</v>
      </c>
      <c r="AH19" s="35">
        <f t="shared" si="15"/>
        <v>0</v>
      </c>
      <c r="AI19" s="10"/>
      <c r="AJ19" s="11"/>
      <c r="AK19" s="11"/>
      <c r="AL19" s="3"/>
    </row>
    <row r="20" spans="1:38" ht="15.75">
      <c r="A20" s="12" t="s">
        <v>31</v>
      </c>
      <c r="B20" s="6"/>
      <c r="C20" s="12" t="s">
        <v>32</v>
      </c>
      <c r="D20" s="6"/>
      <c r="E20" s="6"/>
      <c r="F20" s="6"/>
      <c r="G20" s="34"/>
      <c r="H20" s="11"/>
      <c r="I20" s="18">
        <f t="shared" si="6"/>
        <v>0</v>
      </c>
      <c r="J20" s="35">
        <f t="shared" si="0"/>
        <v>0</v>
      </c>
      <c r="K20" s="34"/>
      <c r="L20" s="11"/>
      <c r="M20" s="18">
        <f t="shared" si="7"/>
        <v>0</v>
      </c>
      <c r="N20" s="35">
        <f t="shared" si="1"/>
        <v>0</v>
      </c>
      <c r="O20" s="34"/>
      <c r="P20" s="11"/>
      <c r="Q20" s="18">
        <f t="shared" si="8"/>
        <v>0</v>
      </c>
      <c r="R20" s="35">
        <f t="shared" si="2"/>
        <v>0</v>
      </c>
      <c r="S20" s="34"/>
      <c r="T20" s="11"/>
      <c r="U20" s="18">
        <f t="shared" si="9"/>
        <v>0</v>
      </c>
      <c r="V20" s="35">
        <f t="shared" si="3"/>
        <v>0</v>
      </c>
      <c r="W20" s="34"/>
      <c r="X20" s="11"/>
      <c r="Y20" s="18">
        <f t="shared" si="11"/>
        <v>0</v>
      </c>
      <c r="Z20" s="35">
        <f t="shared" si="13"/>
        <v>0</v>
      </c>
      <c r="AA20" s="34"/>
      <c r="AB20" s="11"/>
      <c r="AC20" s="18">
        <f t="shared" si="4"/>
        <v>0</v>
      </c>
      <c r="AD20" s="35">
        <f t="shared" si="5"/>
        <v>0</v>
      </c>
      <c r="AE20" s="34"/>
      <c r="AF20" s="11"/>
      <c r="AG20" s="18">
        <f t="shared" si="14"/>
        <v>0</v>
      </c>
      <c r="AH20" s="35">
        <f t="shared" si="15"/>
        <v>0</v>
      </c>
      <c r="AI20" s="10"/>
      <c r="AJ20" s="11"/>
      <c r="AK20" s="11"/>
      <c r="AL20" s="3"/>
    </row>
    <row r="21" spans="1:38" ht="15.75">
      <c r="A21" s="12" t="s">
        <v>386</v>
      </c>
      <c r="B21" s="6"/>
      <c r="C21" s="12" t="s">
        <v>387</v>
      </c>
      <c r="D21" s="6"/>
      <c r="E21" s="6"/>
      <c r="F21" s="6"/>
      <c r="G21" s="34">
        <f aca="true" t="shared" si="18" ref="G21:G28">H21/L21-1</f>
        <v>0.4110835137290647</v>
      </c>
      <c r="H21" s="11">
        <v>34058.97</v>
      </c>
      <c r="I21" s="18">
        <f t="shared" si="6"/>
        <v>9922.220000000001</v>
      </c>
      <c r="J21" s="35">
        <f t="shared" si="0"/>
        <v>2838.2475</v>
      </c>
      <c r="K21" s="34">
        <f aca="true" t="shared" si="19" ref="K21:K28">L21/P21-1</f>
        <v>0.17757017097069427</v>
      </c>
      <c r="L21" s="11">
        <f>41533.75-17397</f>
        <v>24136.75</v>
      </c>
      <c r="M21" s="18">
        <f t="shared" si="7"/>
        <v>3639.6699999999983</v>
      </c>
      <c r="N21" s="35">
        <f t="shared" si="1"/>
        <v>2011.3958333333333</v>
      </c>
      <c r="O21" s="34">
        <f aca="true" t="shared" si="20" ref="O21:O28">P21/T21-1</f>
        <v>-0.1879845798093115</v>
      </c>
      <c r="P21" s="11">
        <v>20497.08</v>
      </c>
      <c r="Q21" s="18">
        <f t="shared" si="8"/>
        <v>-4745.149999999998</v>
      </c>
      <c r="R21" s="35">
        <f t="shared" si="2"/>
        <v>1708.0900000000001</v>
      </c>
      <c r="S21" s="34">
        <f aca="true" t="shared" si="21" ref="S21:S28">T21/X21-1</f>
        <v>1.2620107176141655</v>
      </c>
      <c r="T21" s="11">
        <v>25242.23</v>
      </c>
      <c r="U21" s="18">
        <f t="shared" si="9"/>
        <v>14083.029999999999</v>
      </c>
      <c r="V21" s="35">
        <f t="shared" si="3"/>
        <v>2103.5191666666665</v>
      </c>
      <c r="W21" s="34">
        <f t="shared" si="10"/>
        <v>-0.1211498326442213</v>
      </c>
      <c r="X21" s="11">
        <f>10939.2+220</f>
        <v>11159.2</v>
      </c>
      <c r="Y21" s="18">
        <f t="shared" si="11"/>
        <v>-1538.2999999999993</v>
      </c>
      <c r="Z21" s="35">
        <f>+X21/12</f>
        <v>929.9333333333334</v>
      </c>
      <c r="AA21" s="34"/>
      <c r="AB21" s="11">
        <v>12697.5</v>
      </c>
      <c r="AC21" s="18"/>
      <c r="AD21" s="35"/>
      <c r="AE21" s="34"/>
      <c r="AF21" s="11"/>
      <c r="AG21" s="18"/>
      <c r="AH21" s="35"/>
      <c r="AI21" s="10"/>
      <c r="AJ21" s="11"/>
      <c r="AK21" s="11"/>
      <c r="AL21" s="3"/>
    </row>
    <row r="22" spans="1:38" ht="15.75">
      <c r="A22" s="12" t="s">
        <v>33</v>
      </c>
      <c r="B22" s="6"/>
      <c r="C22" s="12" t="s">
        <v>34</v>
      </c>
      <c r="D22" s="6"/>
      <c r="E22" s="6" t="s">
        <v>33</v>
      </c>
      <c r="F22" s="6">
        <v>7563</v>
      </c>
      <c r="G22" s="34">
        <f t="shared" si="18"/>
        <v>6.658991910392035</v>
      </c>
      <c r="H22" s="11">
        <v>984.64</v>
      </c>
      <c r="I22" s="18">
        <f t="shared" si="6"/>
        <v>856.0799999999999</v>
      </c>
      <c r="J22" s="35">
        <f t="shared" si="0"/>
        <v>82.05333333333333</v>
      </c>
      <c r="K22" s="34">
        <f t="shared" si="19"/>
        <v>-0.8571555555555556</v>
      </c>
      <c r="L22" s="11">
        <v>128.56</v>
      </c>
      <c r="M22" s="18">
        <f t="shared" si="7"/>
        <v>-771.44</v>
      </c>
      <c r="N22" s="35">
        <f t="shared" si="1"/>
        <v>10.713333333333333</v>
      </c>
      <c r="O22" s="34">
        <f t="shared" si="20"/>
        <v>-0.33085501858736055</v>
      </c>
      <c r="P22" s="11">
        <v>900</v>
      </c>
      <c r="Q22" s="18">
        <f t="shared" si="8"/>
        <v>-445</v>
      </c>
      <c r="R22" s="35">
        <f t="shared" si="2"/>
        <v>75</v>
      </c>
      <c r="S22" s="34" t="e">
        <f t="shared" si="21"/>
        <v>#DIV/0!</v>
      </c>
      <c r="T22" s="11">
        <v>1345</v>
      </c>
      <c r="U22" s="18">
        <f t="shared" si="9"/>
        <v>1345</v>
      </c>
      <c r="V22" s="35">
        <f aca="true" t="shared" si="22" ref="V22:V63">+T22/12</f>
        <v>112.08333333333333</v>
      </c>
      <c r="W22" s="34">
        <f t="shared" si="10"/>
        <v>-1</v>
      </c>
      <c r="X22" s="11">
        <f>18000-18000</f>
        <v>0</v>
      </c>
      <c r="Y22" s="18">
        <f t="shared" si="11"/>
        <v>-172.7</v>
      </c>
      <c r="Z22" s="35">
        <f t="shared" si="13"/>
        <v>0</v>
      </c>
      <c r="AA22" s="34">
        <f aca="true" t="shared" si="23" ref="AA22:AA28">AB22/AF22-1</f>
        <v>-0.9771651461060425</v>
      </c>
      <c r="AB22" s="11">
        <v>172.7</v>
      </c>
      <c r="AC22" s="18">
        <f aca="true" t="shared" si="24" ref="AC22:AC63">+AB22-AF22</f>
        <v>-7390.3</v>
      </c>
      <c r="AD22" s="35">
        <f aca="true" t="shared" si="25" ref="AD22:AD64">+AB22/12</f>
        <v>14.391666666666666</v>
      </c>
      <c r="AE22" s="34">
        <f aca="true" t="shared" si="26" ref="AE22:AE28">AF22/AJ22-1</f>
        <v>2.408599242833964</v>
      </c>
      <c r="AF22" s="11">
        <v>7563</v>
      </c>
      <c r="AG22" s="18">
        <f t="shared" si="14"/>
        <v>5344.2</v>
      </c>
      <c r="AH22" s="35">
        <f t="shared" si="15"/>
        <v>630.25</v>
      </c>
      <c r="AI22" s="10">
        <f t="shared" si="12"/>
        <v>1.2188000000000003</v>
      </c>
      <c r="AJ22" s="11">
        <v>2218.8</v>
      </c>
      <c r="AK22" s="11">
        <v>1000</v>
      </c>
      <c r="AL22" s="3"/>
    </row>
    <row r="23" spans="1:38" s="20" customFormat="1" ht="15.75">
      <c r="A23" s="15"/>
      <c r="B23" s="16" t="s">
        <v>35</v>
      </c>
      <c r="C23" s="15"/>
      <c r="D23" s="16" t="s">
        <v>36</v>
      </c>
      <c r="E23" s="15"/>
      <c r="F23" s="15"/>
      <c r="G23" s="32">
        <f t="shared" si="18"/>
        <v>-0.059903363292928224</v>
      </c>
      <c r="H23" s="18">
        <f>+H24+H29</f>
        <v>11880.02</v>
      </c>
      <c r="I23" s="18">
        <f t="shared" si="6"/>
        <v>-757</v>
      </c>
      <c r="J23" s="33">
        <f t="shared" si="0"/>
        <v>990.0016666666667</v>
      </c>
      <c r="K23" s="32">
        <f t="shared" si="19"/>
        <v>-0.023896990669220575</v>
      </c>
      <c r="L23" s="18">
        <f>+L24+L29</f>
        <v>12637.02</v>
      </c>
      <c r="M23" s="18">
        <f t="shared" si="7"/>
        <v>-309.3799999999974</v>
      </c>
      <c r="N23" s="33">
        <f t="shared" si="1"/>
        <v>1053.085</v>
      </c>
      <c r="O23" s="32">
        <f t="shared" si="20"/>
        <v>0.6197881803907337</v>
      </c>
      <c r="P23" s="18">
        <f>+P24+P29</f>
        <v>12946.399999999998</v>
      </c>
      <c r="Q23" s="18">
        <f t="shared" si="8"/>
        <v>4953.749999999998</v>
      </c>
      <c r="R23" s="33">
        <f t="shared" si="2"/>
        <v>1078.8666666666666</v>
      </c>
      <c r="S23" s="32">
        <f t="shared" si="21"/>
        <v>-0.26754983637594953</v>
      </c>
      <c r="T23" s="18">
        <f>+T24+T29</f>
        <v>7992.65</v>
      </c>
      <c r="U23" s="18">
        <f t="shared" si="9"/>
        <v>-2919.5599999999995</v>
      </c>
      <c r="V23" s="33">
        <f t="shared" si="22"/>
        <v>666.0541666666667</v>
      </c>
      <c r="W23" s="32">
        <f t="shared" si="10"/>
        <v>0.03153533403726949</v>
      </c>
      <c r="X23" s="18">
        <f>+X24+X29</f>
        <v>10912.21</v>
      </c>
      <c r="Y23" s="18">
        <f t="shared" si="11"/>
        <v>333.59999999999854</v>
      </c>
      <c r="Z23" s="33">
        <f t="shared" si="13"/>
        <v>909.3508333333333</v>
      </c>
      <c r="AA23" s="32">
        <f t="shared" si="23"/>
        <v>0.0008107821730098941</v>
      </c>
      <c r="AB23" s="18">
        <f>+AB24+AB29</f>
        <v>10578.61</v>
      </c>
      <c r="AC23" s="18">
        <f t="shared" si="24"/>
        <v>8.570000000001528</v>
      </c>
      <c r="AD23" s="33">
        <f t="shared" si="25"/>
        <v>881.5508333333333</v>
      </c>
      <c r="AE23" s="32">
        <f t="shared" si="26"/>
        <v>0.3212946388391651</v>
      </c>
      <c r="AF23" s="18">
        <f>+AF24+AF29</f>
        <v>10570.039999999999</v>
      </c>
      <c r="AG23" s="18">
        <f t="shared" si="14"/>
        <v>2570.279999999999</v>
      </c>
      <c r="AH23" s="33">
        <f t="shared" si="15"/>
        <v>880.8366666666666</v>
      </c>
      <c r="AI23" s="17">
        <f t="shared" si="12"/>
        <v>0.0572854439146111</v>
      </c>
      <c r="AJ23" s="18">
        <f>+AJ24+AJ29</f>
        <v>7999.76</v>
      </c>
      <c r="AK23" s="18">
        <f>+AK24+AK29</f>
        <v>7566.32</v>
      </c>
      <c r="AL23" s="19">
        <f>+AL24+AL29</f>
        <v>0</v>
      </c>
    </row>
    <row r="24" spans="1:38" ht="15.75">
      <c r="A24" s="6"/>
      <c r="B24" s="9" t="s">
        <v>37</v>
      </c>
      <c r="C24" s="6"/>
      <c r="D24" s="9" t="s">
        <v>38</v>
      </c>
      <c r="E24" s="6"/>
      <c r="F24" s="6"/>
      <c r="G24" s="34">
        <f t="shared" si="18"/>
        <v>-0.059903363292928224</v>
      </c>
      <c r="H24" s="11">
        <f>SUM(H25:H28)</f>
        <v>11880.02</v>
      </c>
      <c r="I24" s="18">
        <f t="shared" si="6"/>
        <v>-757</v>
      </c>
      <c r="J24" s="35">
        <f t="shared" si="0"/>
        <v>990.0016666666667</v>
      </c>
      <c r="K24" s="34">
        <f t="shared" si="19"/>
        <v>-0.023896990669220575</v>
      </c>
      <c r="L24" s="11">
        <f>SUM(L25:L28)</f>
        <v>12637.02</v>
      </c>
      <c r="M24" s="18">
        <f t="shared" si="7"/>
        <v>-309.3799999999974</v>
      </c>
      <c r="N24" s="35">
        <f t="shared" si="1"/>
        <v>1053.085</v>
      </c>
      <c r="O24" s="34">
        <f t="shared" si="20"/>
        <v>0.6197881803907337</v>
      </c>
      <c r="P24" s="11">
        <f>SUM(P25:P28)</f>
        <v>12946.399999999998</v>
      </c>
      <c r="Q24" s="18">
        <f t="shared" si="8"/>
        <v>4953.749999999998</v>
      </c>
      <c r="R24" s="35">
        <f t="shared" si="2"/>
        <v>1078.8666666666666</v>
      </c>
      <c r="S24" s="34">
        <f t="shared" si="21"/>
        <v>-0.26754983637594953</v>
      </c>
      <c r="T24" s="11">
        <f>SUM(T25:T28)</f>
        <v>7992.65</v>
      </c>
      <c r="U24" s="18">
        <f t="shared" si="9"/>
        <v>-2919.5599999999995</v>
      </c>
      <c r="V24" s="35">
        <f t="shared" si="22"/>
        <v>666.0541666666667</v>
      </c>
      <c r="W24" s="34">
        <f t="shared" si="10"/>
        <v>0.03153533403726949</v>
      </c>
      <c r="X24" s="11">
        <f>SUM(X25:X28)</f>
        <v>10912.21</v>
      </c>
      <c r="Y24" s="18">
        <f t="shared" si="11"/>
        <v>333.59999999999854</v>
      </c>
      <c r="Z24" s="35">
        <f t="shared" si="13"/>
        <v>909.3508333333333</v>
      </c>
      <c r="AA24" s="34">
        <f t="shared" si="23"/>
        <v>0.0008107821730098941</v>
      </c>
      <c r="AB24" s="11">
        <f>SUM(AB25:AB28)</f>
        <v>10578.61</v>
      </c>
      <c r="AC24" s="18">
        <f t="shared" si="24"/>
        <v>8.570000000001528</v>
      </c>
      <c r="AD24" s="35">
        <f t="shared" si="25"/>
        <v>881.5508333333333</v>
      </c>
      <c r="AE24" s="34">
        <f t="shared" si="26"/>
        <v>0.3212946388391651</v>
      </c>
      <c r="AF24" s="11">
        <f>SUM(AF25:AF28)</f>
        <v>10570.039999999999</v>
      </c>
      <c r="AG24" s="18">
        <f t="shared" si="14"/>
        <v>2570.279999999999</v>
      </c>
      <c r="AH24" s="35">
        <f t="shared" si="15"/>
        <v>880.8366666666666</v>
      </c>
      <c r="AI24" s="10">
        <f t="shared" si="12"/>
        <v>0.0572854439146111</v>
      </c>
      <c r="AJ24" s="11">
        <f>SUM(AJ25:AJ28)</f>
        <v>7999.76</v>
      </c>
      <c r="AK24" s="11">
        <f>SUM(AK25:AK28)</f>
        <v>7566.32</v>
      </c>
      <c r="AL24" s="3">
        <f>SUM(AL25:AL28)</f>
        <v>0</v>
      </c>
    </row>
    <row r="25" spans="1:38" ht="15.75">
      <c r="A25" s="12" t="s">
        <v>39</v>
      </c>
      <c r="B25" s="6"/>
      <c r="C25" s="12" t="s">
        <v>40</v>
      </c>
      <c r="D25" s="6"/>
      <c r="E25" s="6" t="s">
        <v>39</v>
      </c>
      <c r="F25" s="6">
        <v>3518.36</v>
      </c>
      <c r="G25" s="34">
        <f t="shared" si="18"/>
        <v>0.06876118173815082</v>
      </c>
      <c r="H25" s="11">
        <v>3387.15</v>
      </c>
      <c r="I25" s="18">
        <f t="shared" si="6"/>
        <v>217.92000000000007</v>
      </c>
      <c r="J25" s="35">
        <f t="shared" si="0"/>
        <v>282.2625</v>
      </c>
      <c r="K25" s="34">
        <f t="shared" si="19"/>
        <v>-0.10644110805667162</v>
      </c>
      <c r="L25" s="11">
        <v>3169.23</v>
      </c>
      <c r="M25" s="18">
        <f t="shared" si="7"/>
        <v>-377.52</v>
      </c>
      <c r="N25" s="35">
        <f t="shared" si="1"/>
        <v>264.1025</v>
      </c>
      <c r="O25" s="34">
        <f t="shared" si="20"/>
        <v>0.118813286647109</v>
      </c>
      <c r="P25" s="11">
        <v>3546.75</v>
      </c>
      <c r="Q25" s="18">
        <f t="shared" si="8"/>
        <v>376.6500000000001</v>
      </c>
      <c r="R25" s="35">
        <f t="shared" si="2"/>
        <v>295.5625</v>
      </c>
      <c r="S25" s="34">
        <f t="shared" si="21"/>
        <v>-0.05757528011724944</v>
      </c>
      <c r="T25" s="11">
        <v>3170.1</v>
      </c>
      <c r="U25" s="18">
        <f t="shared" si="9"/>
        <v>-193.67000000000007</v>
      </c>
      <c r="V25" s="35">
        <f t="shared" si="22"/>
        <v>264.175</v>
      </c>
      <c r="W25" s="34">
        <f t="shared" si="10"/>
        <v>-0.05199984217705489</v>
      </c>
      <c r="X25" s="11">
        <v>3363.77</v>
      </c>
      <c r="Y25" s="18">
        <f t="shared" si="11"/>
        <v>-184.51000000000022</v>
      </c>
      <c r="Z25" s="35">
        <f t="shared" si="13"/>
        <v>280.31416666666667</v>
      </c>
      <c r="AA25" s="34">
        <f t="shared" si="23"/>
        <v>0.00850396207323878</v>
      </c>
      <c r="AB25" s="11">
        <v>3548.28</v>
      </c>
      <c r="AC25" s="18">
        <f t="shared" si="24"/>
        <v>29.920000000000073</v>
      </c>
      <c r="AD25" s="35">
        <f t="shared" si="25"/>
        <v>295.69</v>
      </c>
      <c r="AE25" s="34">
        <f t="shared" si="26"/>
        <v>0.1238289322801045</v>
      </c>
      <c r="AF25" s="11">
        <v>3518.36</v>
      </c>
      <c r="AG25" s="18">
        <f t="shared" si="14"/>
        <v>387.6700000000001</v>
      </c>
      <c r="AH25" s="35">
        <f t="shared" si="15"/>
        <v>293.19666666666666</v>
      </c>
      <c r="AI25" s="10">
        <f t="shared" si="12"/>
        <v>-0.1398423483447675</v>
      </c>
      <c r="AJ25" s="11">
        <v>3130.69</v>
      </c>
      <c r="AK25" s="11">
        <v>3639.67</v>
      </c>
      <c r="AL25" s="3"/>
    </row>
    <row r="26" spans="1:38" ht="15.75">
      <c r="A26" s="12" t="s">
        <v>41</v>
      </c>
      <c r="B26" s="6"/>
      <c r="C26" s="12" t="s">
        <v>388</v>
      </c>
      <c r="D26" s="6"/>
      <c r="E26" s="6" t="s">
        <v>41</v>
      </c>
      <c r="F26" s="6">
        <v>288.17</v>
      </c>
      <c r="G26" s="34">
        <f t="shared" si="18"/>
        <v>-0.30234372006721366</v>
      </c>
      <c r="H26" s="11">
        <v>2549.25</v>
      </c>
      <c r="I26" s="18">
        <f t="shared" si="6"/>
        <v>-1104.77</v>
      </c>
      <c r="J26" s="35">
        <f t="shared" si="0"/>
        <v>212.4375</v>
      </c>
      <c r="K26" s="34">
        <f t="shared" si="19"/>
        <v>-0.06675690861725492</v>
      </c>
      <c r="L26" s="11">
        <v>3654.02</v>
      </c>
      <c r="M26" s="18">
        <f t="shared" si="7"/>
        <v>-261.3800000000001</v>
      </c>
      <c r="N26" s="35">
        <f t="shared" si="1"/>
        <v>304.50166666666667</v>
      </c>
      <c r="O26" s="34">
        <f t="shared" si="20"/>
        <v>2.1366108836888866</v>
      </c>
      <c r="P26" s="11">
        <v>3915.4</v>
      </c>
      <c r="Q26" s="18">
        <f t="shared" si="8"/>
        <v>2667.11</v>
      </c>
      <c r="R26" s="35">
        <f t="shared" si="2"/>
        <v>326.28333333333336</v>
      </c>
      <c r="S26" s="34">
        <f t="shared" si="21"/>
        <v>0.051271254242426734</v>
      </c>
      <c r="T26" s="11">
        <v>1248.29</v>
      </c>
      <c r="U26" s="18">
        <f t="shared" si="9"/>
        <v>60.87999999999988</v>
      </c>
      <c r="V26" s="35">
        <f t="shared" si="22"/>
        <v>104.02416666666666</v>
      </c>
      <c r="W26" s="34">
        <f t="shared" si="10"/>
        <v>-0.0016143543003201977</v>
      </c>
      <c r="X26" s="11">
        <v>1187.41</v>
      </c>
      <c r="Y26" s="18">
        <f t="shared" si="11"/>
        <v>-1.9199999999998454</v>
      </c>
      <c r="Z26" s="35">
        <f t="shared" si="13"/>
        <v>98.95083333333334</v>
      </c>
      <c r="AA26" s="34">
        <f t="shared" si="23"/>
        <v>3.1271818718117776</v>
      </c>
      <c r="AB26" s="11">
        <v>1189.33</v>
      </c>
      <c r="AC26" s="18">
        <f t="shared" si="24"/>
        <v>901.1599999999999</v>
      </c>
      <c r="AD26" s="35">
        <f t="shared" si="25"/>
        <v>99.11083333333333</v>
      </c>
      <c r="AE26" s="34">
        <f t="shared" si="26"/>
        <v>2.4412467160257947</v>
      </c>
      <c r="AF26" s="11">
        <v>288.17</v>
      </c>
      <c r="AG26" s="18">
        <f t="shared" si="14"/>
        <v>204.43</v>
      </c>
      <c r="AH26" s="35">
        <f t="shared" si="15"/>
        <v>24.014166666666668</v>
      </c>
      <c r="AI26" s="10">
        <f t="shared" si="12"/>
        <v>-0.693338704361519</v>
      </c>
      <c r="AJ26" s="11">
        <v>83.74</v>
      </c>
      <c r="AK26" s="11">
        <v>273.07</v>
      </c>
      <c r="AL26" s="3"/>
    </row>
    <row r="27" spans="1:38" ht="15.75">
      <c r="A27" s="12" t="s">
        <v>42</v>
      </c>
      <c r="B27" s="6"/>
      <c r="C27" s="12" t="s">
        <v>43</v>
      </c>
      <c r="D27" s="6"/>
      <c r="E27" s="6" t="s">
        <v>42</v>
      </c>
      <c r="F27" s="6">
        <v>4174.78</v>
      </c>
      <c r="G27" s="34">
        <f t="shared" si="18"/>
        <v>0.00803203384886464</v>
      </c>
      <c r="H27" s="11">
        <v>3421.17</v>
      </c>
      <c r="I27" s="18">
        <f t="shared" si="6"/>
        <v>27.26000000000022</v>
      </c>
      <c r="J27" s="35">
        <f t="shared" si="0"/>
        <v>285.0975</v>
      </c>
      <c r="K27" s="34">
        <f t="shared" si="19"/>
        <v>-0.006696343644180702</v>
      </c>
      <c r="L27" s="11">
        <v>3393.91</v>
      </c>
      <c r="M27" s="18">
        <f t="shared" si="7"/>
        <v>-22.88000000000011</v>
      </c>
      <c r="N27" s="35">
        <f t="shared" si="1"/>
        <v>282.8258333333333</v>
      </c>
      <c r="O27" s="34">
        <f t="shared" si="20"/>
        <v>2.253280140155771</v>
      </c>
      <c r="P27" s="11">
        <v>3416.79</v>
      </c>
      <c r="Q27" s="18">
        <f t="shared" si="8"/>
        <v>2366.5299999999997</v>
      </c>
      <c r="R27" s="35">
        <f t="shared" si="2"/>
        <v>284.7325</v>
      </c>
      <c r="S27" s="34">
        <f t="shared" si="21"/>
        <v>-0.7370998022478661</v>
      </c>
      <c r="T27" s="11">
        <v>1050.26</v>
      </c>
      <c r="U27" s="18">
        <f t="shared" si="9"/>
        <v>-2944.6400000000003</v>
      </c>
      <c r="V27" s="35">
        <f t="shared" si="22"/>
        <v>87.52166666666666</v>
      </c>
      <c r="W27" s="34">
        <f t="shared" si="10"/>
        <v>0.028669571218160605</v>
      </c>
      <c r="X27" s="11">
        <v>3994.9</v>
      </c>
      <c r="Y27" s="18">
        <f t="shared" si="11"/>
        <v>111.34000000000015</v>
      </c>
      <c r="Z27" s="35">
        <f t="shared" si="13"/>
        <v>332.90833333333336</v>
      </c>
      <c r="AA27" s="34">
        <f t="shared" si="23"/>
        <v>-0.06975696922951624</v>
      </c>
      <c r="AB27" s="11">
        <v>3883.56</v>
      </c>
      <c r="AC27" s="18">
        <f t="shared" si="24"/>
        <v>-291.2199999999998</v>
      </c>
      <c r="AD27" s="35">
        <f t="shared" si="25"/>
        <v>323.63</v>
      </c>
      <c r="AE27" s="34">
        <f t="shared" si="26"/>
        <v>0.07736536094286683</v>
      </c>
      <c r="AF27" s="11">
        <v>4174.78</v>
      </c>
      <c r="AG27" s="18">
        <f t="shared" si="14"/>
        <v>299.78999999999996</v>
      </c>
      <c r="AH27" s="35">
        <f t="shared" si="15"/>
        <v>347.8983333333333</v>
      </c>
      <c r="AI27" s="10">
        <f t="shared" si="12"/>
        <v>0.06060083534505889</v>
      </c>
      <c r="AJ27" s="11">
        <v>3874.99</v>
      </c>
      <c r="AK27" s="11">
        <v>3653.58</v>
      </c>
      <c r="AL27" s="3"/>
    </row>
    <row r="28" spans="1:38" ht="15.75">
      <c r="A28" s="12" t="s">
        <v>44</v>
      </c>
      <c r="B28" s="6"/>
      <c r="C28" s="12" t="s">
        <v>45</v>
      </c>
      <c r="D28" s="6"/>
      <c r="E28" s="6" t="s">
        <v>44</v>
      </c>
      <c r="F28" s="6">
        <v>2588.73</v>
      </c>
      <c r="G28" s="34">
        <f t="shared" si="18"/>
        <v>0.04239501458762063</v>
      </c>
      <c r="H28" s="11">
        <v>2522.45</v>
      </c>
      <c r="I28" s="18">
        <f t="shared" si="6"/>
        <v>102.58999999999969</v>
      </c>
      <c r="J28" s="35">
        <f t="shared" si="0"/>
        <v>210.20416666666665</v>
      </c>
      <c r="K28" s="34">
        <f t="shared" si="19"/>
        <v>0.17045069795788081</v>
      </c>
      <c r="L28" s="11">
        <v>2419.86</v>
      </c>
      <c r="M28" s="18">
        <f t="shared" si="7"/>
        <v>352.4000000000001</v>
      </c>
      <c r="N28" s="35">
        <f t="shared" si="1"/>
        <v>201.655</v>
      </c>
      <c r="O28" s="34">
        <f t="shared" si="20"/>
        <v>-0.18087955625990493</v>
      </c>
      <c r="P28" s="11">
        <v>2067.46</v>
      </c>
      <c r="Q28" s="18">
        <f t="shared" si="8"/>
        <v>-456.53999999999996</v>
      </c>
      <c r="R28" s="35">
        <f t="shared" si="2"/>
        <v>172.28833333333333</v>
      </c>
      <c r="S28" s="34">
        <f t="shared" si="21"/>
        <v>0.06672076344072386</v>
      </c>
      <c r="T28" s="11">
        <v>2524</v>
      </c>
      <c r="U28" s="18">
        <f t="shared" si="9"/>
        <v>157.8699999999999</v>
      </c>
      <c r="V28" s="35">
        <f t="shared" si="22"/>
        <v>210.33333333333334</v>
      </c>
      <c r="W28" s="34">
        <f t="shared" si="10"/>
        <v>0.20878800882785686</v>
      </c>
      <c r="X28" s="11">
        <v>2366.13</v>
      </c>
      <c r="Y28" s="18">
        <f t="shared" si="11"/>
        <v>408.69000000000005</v>
      </c>
      <c r="Z28" s="35">
        <f t="shared" si="13"/>
        <v>197.1775</v>
      </c>
      <c r="AA28" s="34">
        <f t="shared" si="23"/>
        <v>-0.24386088931638294</v>
      </c>
      <c r="AB28" s="11">
        <v>1957.44</v>
      </c>
      <c r="AC28" s="18">
        <f t="shared" si="24"/>
        <v>-631.29</v>
      </c>
      <c r="AD28" s="35">
        <f t="shared" si="25"/>
        <v>163.12</v>
      </c>
      <c r="AE28" s="34">
        <f t="shared" si="26"/>
        <v>1.8436957620229801</v>
      </c>
      <c r="AF28" s="11">
        <v>2588.73</v>
      </c>
      <c r="AG28" s="18">
        <f t="shared" si="14"/>
        <v>1678.3899999999999</v>
      </c>
      <c r="AH28" s="35">
        <f t="shared" si="15"/>
        <v>215.7275</v>
      </c>
      <c r="AI28" s="13"/>
      <c r="AJ28" s="11">
        <v>910.34</v>
      </c>
      <c r="AK28" s="11"/>
      <c r="AL28" s="3"/>
    </row>
    <row r="29" spans="1:38" ht="15.75">
      <c r="A29" s="12" t="s">
        <v>46</v>
      </c>
      <c r="B29" s="6"/>
      <c r="C29" s="12" t="s">
        <v>47</v>
      </c>
      <c r="D29" s="6"/>
      <c r="E29" s="6"/>
      <c r="F29" s="6"/>
      <c r="G29" s="34"/>
      <c r="H29" s="11"/>
      <c r="I29" s="18">
        <f t="shared" si="6"/>
        <v>0</v>
      </c>
      <c r="J29" s="35">
        <f t="shared" si="0"/>
        <v>0</v>
      </c>
      <c r="K29" s="34"/>
      <c r="L29" s="11"/>
      <c r="M29" s="18">
        <f t="shared" si="7"/>
        <v>0</v>
      </c>
      <c r="N29" s="35">
        <f t="shared" si="1"/>
        <v>0</v>
      </c>
      <c r="O29" s="34"/>
      <c r="P29" s="11"/>
      <c r="Q29" s="18">
        <f t="shared" si="8"/>
        <v>0</v>
      </c>
      <c r="R29" s="35">
        <f t="shared" si="2"/>
        <v>0</v>
      </c>
      <c r="S29" s="34"/>
      <c r="T29" s="11"/>
      <c r="U29" s="18">
        <f t="shared" si="9"/>
        <v>0</v>
      </c>
      <c r="V29" s="35">
        <f t="shared" si="22"/>
        <v>0</v>
      </c>
      <c r="W29" s="34"/>
      <c r="X29" s="11"/>
      <c r="Y29" s="18">
        <f t="shared" si="11"/>
        <v>0</v>
      </c>
      <c r="Z29" s="35">
        <f t="shared" si="13"/>
        <v>0</v>
      </c>
      <c r="AA29" s="34"/>
      <c r="AB29" s="11"/>
      <c r="AC29" s="18">
        <f t="shared" si="24"/>
        <v>0</v>
      </c>
      <c r="AD29" s="35">
        <f t="shared" si="25"/>
        <v>0</v>
      </c>
      <c r="AE29" s="34"/>
      <c r="AF29" s="11"/>
      <c r="AG29" s="18">
        <f t="shared" si="14"/>
        <v>0</v>
      </c>
      <c r="AH29" s="35">
        <f t="shared" si="15"/>
        <v>0</v>
      </c>
      <c r="AI29" s="10"/>
      <c r="AJ29" s="11"/>
      <c r="AK29" s="11"/>
      <c r="AL29" s="3"/>
    </row>
    <row r="30" spans="1:38" s="20" customFormat="1" ht="15.75">
      <c r="A30" s="15"/>
      <c r="B30" s="16" t="s">
        <v>48</v>
      </c>
      <c r="C30" s="15"/>
      <c r="D30" s="16" t="s">
        <v>49</v>
      </c>
      <c r="E30" s="15"/>
      <c r="F30" s="15"/>
      <c r="G30" s="32">
        <f>H30/L30-1</f>
        <v>0.14713896457765663</v>
      </c>
      <c r="H30" s="18">
        <f>SUM(H31:H33)</f>
        <v>23155</v>
      </c>
      <c r="I30" s="18">
        <f t="shared" si="6"/>
        <v>2970</v>
      </c>
      <c r="J30" s="33">
        <f t="shared" si="0"/>
        <v>1929.5833333333333</v>
      </c>
      <c r="K30" s="32">
        <f>L30/P30-1</f>
        <v>-0.04200284765068818</v>
      </c>
      <c r="L30" s="18">
        <f>SUM(L31:L33)</f>
        <v>20185</v>
      </c>
      <c r="M30" s="18">
        <f t="shared" si="7"/>
        <v>-885</v>
      </c>
      <c r="N30" s="33">
        <f t="shared" si="1"/>
        <v>1682.0833333333333</v>
      </c>
      <c r="O30" s="32">
        <f>P30/T30-1</f>
        <v>-0.1481520114043322</v>
      </c>
      <c r="P30" s="18">
        <f>SUM(P31:P33)</f>
        <v>21070</v>
      </c>
      <c r="Q30" s="18">
        <f t="shared" si="8"/>
        <v>-3664.459999999999</v>
      </c>
      <c r="R30" s="33">
        <f t="shared" si="2"/>
        <v>1755.8333333333333</v>
      </c>
      <c r="S30" s="32">
        <f>T30/X30-1</f>
        <v>0.1682076229159779</v>
      </c>
      <c r="T30" s="18">
        <f>SUM(T31:T33)</f>
        <v>24734.46</v>
      </c>
      <c r="U30" s="18">
        <f t="shared" si="9"/>
        <v>3561.459999999999</v>
      </c>
      <c r="V30" s="33">
        <f t="shared" si="22"/>
        <v>2061.205</v>
      </c>
      <c r="W30" s="32">
        <f t="shared" si="10"/>
        <v>-0.14497780972495367</v>
      </c>
      <c r="X30" s="18">
        <f>SUM(X31:X33)</f>
        <v>21173</v>
      </c>
      <c r="Y30" s="18">
        <f t="shared" si="11"/>
        <v>-3590.0999999999985</v>
      </c>
      <c r="Z30" s="33">
        <f t="shared" si="13"/>
        <v>1764.4166666666667</v>
      </c>
      <c r="AA30" s="32">
        <f>AB30/AF30-1</f>
        <v>-0.1844634039186963</v>
      </c>
      <c r="AB30" s="18">
        <f>SUM(AB31:AB33)</f>
        <v>24763.1</v>
      </c>
      <c r="AC30" s="18">
        <f t="shared" si="24"/>
        <v>-5601.080000000002</v>
      </c>
      <c r="AD30" s="33">
        <f t="shared" si="25"/>
        <v>2063.5916666666667</v>
      </c>
      <c r="AE30" s="32">
        <f>AF30/AJ30-1</f>
        <v>-0.00736592621651222</v>
      </c>
      <c r="AF30" s="18">
        <f>SUM(AF31:AF33)</f>
        <v>30364.18</v>
      </c>
      <c r="AG30" s="18">
        <f t="shared" si="14"/>
        <v>-225.3199999999997</v>
      </c>
      <c r="AH30" s="33">
        <f t="shared" si="15"/>
        <v>2530.3483333333334</v>
      </c>
      <c r="AI30" s="17">
        <f t="shared" si="12"/>
        <v>0.015452795113530815</v>
      </c>
      <c r="AJ30" s="18">
        <f>SUM(AJ31:AJ33)</f>
        <v>30589.5</v>
      </c>
      <c r="AK30" s="18">
        <f>SUM(AK31:AK33)</f>
        <v>30124</v>
      </c>
      <c r="AL30" s="19">
        <f>SUM(AL31:AL33)</f>
        <v>0</v>
      </c>
    </row>
    <row r="31" spans="1:38" ht="15.75">
      <c r="A31" s="12" t="s">
        <v>50</v>
      </c>
      <c r="B31" s="6"/>
      <c r="C31" s="12" t="s">
        <v>51</v>
      </c>
      <c r="D31" s="6"/>
      <c r="E31" s="6" t="s">
        <v>50</v>
      </c>
      <c r="F31" s="6">
        <v>30364.18</v>
      </c>
      <c r="G31" s="34">
        <f>H31/L31-1</f>
        <v>0.14713896457765663</v>
      </c>
      <c r="H31" s="11">
        <v>23155</v>
      </c>
      <c r="I31" s="18">
        <f t="shared" si="6"/>
        <v>2970</v>
      </c>
      <c r="J31" s="35">
        <f t="shared" si="0"/>
        <v>1929.5833333333333</v>
      </c>
      <c r="K31" s="34">
        <f>L31/P31-1</f>
        <v>0.08463191832348205</v>
      </c>
      <c r="L31" s="11">
        <v>20185</v>
      </c>
      <c r="M31" s="18">
        <f t="shared" si="7"/>
        <v>1575</v>
      </c>
      <c r="N31" s="35">
        <f t="shared" si="1"/>
        <v>1682.0833333333333</v>
      </c>
      <c r="O31" s="34">
        <f>P31/T31-1</f>
        <v>-0.24760839735332807</v>
      </c>
      <c r="P31" s="11">
        <v>18610</v>
      </c>
      <c r="Q31" s="18">
        <f t="shared" si="8"/>
        <v>-6124.459999999999</v>
      </c>
      <c r="R31" s="35">
        <f t="shared" si="2"/>
        <v>1550.8333333333333</v>
      </c>
      <c r="S31" s="34">
        <f>T31/X31-1</f>
        <v>0.1682076229159779</v>
      </c>
      <c r="T31" s="11">
        <v>24734.46</v>
      </c>
      <c r="U31" s="18">
        <f t="shared" si="9"/>
        <v>3561.459999999999</v>
      </c>
      <c r="V31" s="35">
        <f t="shared" si="22"/>
        <v>2061.205</v>
      </c>
      <c r="W31" s="34">
        <f t="shared" si="10"/>
        <v>-0.14497780972495367</v>
      </c>
      <c r="X31" s="11">
        <f>22423-1250</f>
        <v>21173</v>
      </c>
      <c r="Y31" s="18">
        <f t="shared" si="11"/>
        <v>-3590.0999999999985</v>
      </c>
      <c r="Z31" s="35">
        <f t="shared" si="13"/>
        <v>1764.4166666666667</v>
      </c>
      <c r="AA31" s="34">
        <f>AB31/AF31-1</f>
        <v>-0.1844634039186963</v>
      </c>
      <c r="AB31" s="11">
        <v>24763.1</v>
      </c>
      <c r="AC31" s="18">
        <f t="shared" si="24"/>
        <v>-5601.080000000002</v>
      </c>
      <c r="AD31" s="35">
        <f t="shared" si="25"/>
        <v>2063.5916666666667</v>
      </c>
      <c r="AE31" s="34">
        <f>AF31/AJ31-1</f>
        <v>-0.00736592621651222</v>
      </c>
      <c r="AF31" s="11">
        <v>30364.18</v>
      </c>
      <c r="AG31" s="18">
        <f t="shared" si="14"/>
        <v>-225.3199999999997</v>
      </c>
      <c r="AH31" s="35">
        <f t="shared" si="15"/>
        <v>2530.3483333333334</v>
      </c>
      <c r="AI31" s="10">
        <f t="shared" si="12"/>
        <v>0.015452795113530815</v>
      </c>
      <c r="AJ31" s="11">
        <v>30589.5</v>
      </c>
      <c r="AK31" s="11">
        <v>30124</v>
      </c>
      <c r="AL31" s="3"/>
    </row>
    <row r="32" spans="1:38" ht="15.75">
      <c r="A32" s="12" t="s">
        <v>52</v>
      </c>
      <c r="B32" s="6"/>
      <c r="C32" s="12" t="s">
        <v>53</v>
      </c>
      <c r="D32" s="6"/>
      <c r="E32" s="6"/>
      <c r="F32" s="6"/>
      <c r="G32" s="34"/>
      <c r="H32" s="11"/>
      <c r="I32" s="18">
        <f t="shared" si="6"/>
        <v>0</v>
      </c>
      <c r="J32" s="35">
        <f t="shared" si="0"/>
        <v>0</v>
      </c>
      <c r="K32" s="34"/>
      <c r="L32" s="11"/>
      <c r="M32" s="18">
        <f t="shared" si="7"/>
        <v>-2460</v>
      </c>
      <c r="N32" s="35">
        <f t="shared" si="1"/>
        <v>0</v>
      </c>
      <c r="O32" s="34"/>
      <c r="P32" s="11">
        <v>2460</v>
      </c>
      <c r="Q32" s="18">
        <f t="shared" si="8"/>
        <v>2460</v>
      </c>
      <c r="R32" s="35">
        <f t="shared" si="2"/>
        <v>205</v>
      </c>
      <c r="S32" s="34"/>
      <c r="T32" s="11"/>
      <c r="U32" s="18">
        <f t="shared" si="9"/>
        <v>0</v>
      </c>
      <c r="V32" s="35">
        <f t="shared" si="22"/>
        <v>0</v>
      </c>
      <c r="W32" s="34"/>
      <c r="X32" s="11"/>
      <c r="Y32" s="18">
        <f t="shared" si="11"/>
        <v>0</v>
      </c>
      <c r="Z32" s="35">
        <f t="shared" si="13"/>
        <v>0</v>
      </c>
      <c r="AA32" s="34"/>
      <c r="AB32" s="11"/>
      <c r="AC32" s="18">
        <f t="shared" si="24"/>
        <v>0</v>
      </c>
      <c r="AD32" s="35">
        <f t="shared" si="25"/>
        <v>0</v>
      </c>
      <c r="AE32" s="34"/>
      <c r="AF32" s="11"/>
      <c r="AG32" s="18">
        <f t="shared" si="14"/>
        <v>0</v>
      </c>
      <c r="AH32" s="35">
        <f t="shared" si="15"/>
        <v>0</v>
      </c>
      <c r="AI32" s="10"/>
      <c r="AJ32" s="11"/>
      <c r="AK32" s="11"/>
      <c r="AL32" s="3"/>
    </row>
    <row r="33" spans="1:38" ht="15.75">
      <c r="A33" s="12" t="s">
        <v>54</v>
      </c>
      <c r="B33" s="6"/>
      <c r="C33" s="12" t="s">
        <v>55</v>
      </c>
      <c r="D33" s="6"/>
      <c r="E33" s="6"/>
      <c r="F33" s="6"/>
      <c r="G33" s="34"/>
      <c r="H33" s="11"/>
      <c r="I33" s="18">
        <f t="shared" si="6"/>
        <v>0</v>
      </c>
      <c r="J33" s="35">
        <f t="shared" si="0"/>
        <v>0</v>
      </c>
      <c r="K33" s="34"/>
      <c r="L33" s="11"/>
      <c r="M33" s="18">
        <f t="shared" si="7"/>
        <v>0</v>
      </c>
      <c r="N33" s="35">
        <f t="shared" si="1"/>
        <v>0</v>
      </c>
      <c r="O33" s="34"/>
      <c r="P33" s="11"/>
      <c r="Q33" s="18">
        <f t="shared" si="8"/>
        <v>0</v>
      </c>
      <c r="R33" s="35">
        <f t="shared" si="2"/>
        <v>0</v>
      </c>
      <c r="S33" s="34"/>
      <c r="T33" s="11"/>
      <c r="U33" s="18">
        <f t="shared" si="9"/>
        <v>0</v>
      </c>
      <c r="V33" s="35">
        <f t="shared" si="22"/>
        <v>0</v>
      </c>
      <c r="W33" s="34"/>
      <c r="X33" s="11"/>
      <c r="Y33" s="18">
        <f t="shared" si="11"/>
        <v>0</v>
      </c>
      <c r="Z33" s="35">
        <f t="shared" si="13"/>
        <v>0</v>
      </c>
      <c r="AA33" s="34"/>
      <c r="AB33" s="11"/>
      <c r="AC33" s="18">
        <f t="shared" si="24"/>
        <v>0</v>
      </c>
      <c r="AD33" s="35">
        <f t="shared" si="25"/>
        <v>0</v>
      </c>
      <c r="AE33" s="34"/>
      <c r="AF33" s="11"/>
      <c r="AG33" s="18">
        <f t="shared" si="14"/>
        <v>0</v>
      </c>
      <c r="AH33" s="35">
        <f t="shared" si="15"/>
        <v>0</v>
      </c>
      <c r="AI33" s="10"/>
      <c r="AJ33" s="11"/>
      <c r="AK33" s="11"/>
      <c r="AL33" s="3"/>
    </row>
    <row r="34" spans="1:38" s="20" customFormat="1" ht="15.75">
      <c r="A34" s="15"/>
      <c r="B34" s="16" t="s">
        <v>56</v>
      </c>
      <c r="C34" s="15"/>
      <c r="D34" s="16" t="s">
        <v>57</v>
      </c>
      <c r="E34" s="6"/>
      <c r="F34" s="6"/>
      <c r="G34" s="32">
        <f aca="true" t="shared" si="27" ref="G34:G61">H34/L34-1</f>
        <v>1.916437358368404</v>
      </c>
      <c r="H34" s="18">
        <f>SUM(H35:H48)</f>
        <v>1441.42</v>
      </c>
      <c r="I34" s="18">
        <f t="shared" si="6"/>
        <v>947.1800000000001</v>
      </c>
      <c r="J34" s="33">
        <f t="shared" si="0"/>
        <v>120.11833333333334</v>
      </c>
      <c r="K34" s="32">
        <f aca="true" t="shared" si="28" ref="K34:K61">L34/P34-1</f>
        <v>-0.802304</v>
      </c>
      <c r="L34" s="18">
        <f>SUM(L35:L48)</f>
        <v>494.24</v>
      </c>
      <c r="M34" s="18">
        <f t="shared" si="7"/>
        <v>-2005.76</v>
      </c>
      <c r="N34" s="33">
        <f t="shared" si="1"/>
        <v>41.18666666666667</v>
      </c>
      <c r="O34" s="32">
        <f aca="true" t="shared" si="29" ref="O34:O61">P34/T34-1</f>
        <v>1.127659574468085</v>
      </c>
      <c r="P34" s="18">
        <f>SUM(P35:P48)</f>
        <v>2500</v>
      </c>
      <c r="Q34" s="18">
        <f t="shared" si="8"/>
        <v>1325</v>
      </c>
      <c r="R34" s="33">
        <f t="shared" si="2"/>
        <v>208.33333333333334</v>
      </c>
      <c r="S34" s="32">
        <f aca="true" t="shared" si="30" ref="S34:S61">T34/X34-1</f>
        <v>-0.53</v>
      </c>
      <c r="T34" s="18">
        <f>SUM(T35:T48)</f>
        <v>1175</v>
      </c>
      <c r="U34" s="18">
        <f t="shared" si="9"/>
        <v>-1325</v>
      </c>
      <c r="V34" s="33">
        <f t="shared" si="22"/>
        <v>97.91666666666667</v>
      </c>
      <c r="W34" s="32">
        <f t="shared" si="10"/>
        <v>0.16960158691543303</v>
      </c>
      <c r="X34" s="18">
        <f>SUM(X35:X48)</f>
        <v>2500</v>
      </c>
      <c r="Y34" s="18">
        <f t="shared" si="11"/>
        <v>362.52</v>
      </c>
      <c r="Z34" s="33">
        <f t="shared" si="13"/>
        <v>208.33333333333334</v>
      </c>
      <c r="AA34" s="32" t="e">
        <f>AB34/AF34-1</f>
        <v>#DIV/0!</v>
      </c>
      <c r="AB34" s="18">
        <f>SUM(AB35:AB48)</f>
        <v>2137.48</v>
      </c>
      <c r="AC34" s="18">
        <f t="shared" si="24"/>
        <v>2137.48</v>
      </c>
      <c r="AD34" s="33">
        <f t="shared" si="25"/>
        <v>178.12333333333333</v>
      </c>
      <c r="AE34" s="32">
        <f>AF34/AJ34-1</f>
        <v>-1</v>
      </c>
      <c r="AF34" s="18">
        <f>SUM(AF35:AF48)</f>
        <v>0</v>
      </c>
      <c r="AG34" s="18">
        <f t="shared" si="14"/>
        <v>-1042.77</v>
      </c>
      <c r="AH34" s="33">
        <f t="shared" si="15"/>
        <v>0</v>
      </c>
      <c r="AI34" s="17">
        <f t="shared" si="12"/>
        <v>4.33905073984947</v>
      </c>
      <c r="AJ34" s="18">
        <f>SUM(AJ35:AJ48)</f>
        <v>1042.77</v>
      </c>
      <c r="AK34" s="18">
        <f>SUM(AK35:AK48)</f>
        <v>195.31</v>
      </c>
      <c r="AL34" s="19">
        <f>SUM(AL35:AL48)</f>
        <v>0</v>
      </c>
    </row>
    <row r="35" spans="1:38" ht="15.75">
      <c r="A35" s="12" t="s">
        <v>58</v>
      </c>
      <c r="B35" s="6"/>
      <c r="C35" s="12" t="s">
        <v>59</v>
      </c>
      <c r="D35" s="6"/>
      <c r="E35" s="6"/>
      <c r="F35" s="6"/>
      <c r="G35" s="34">
        <f t="shared" si="27"/>
        <v>-1</v>
      </c>
      <c r="H35" s="11"/>
      <c r="I35" s="18">
        <f t="shared" si="6"/>
        <v>-200</v>
      </c>
      <c r="J35" s="35">
        <f t="shared" si="0"/>
        <v>0</v>
      </c>
      <c r="K35" s="34">
        <f t="shared" si="28"/>
        <v>-0.5</v>
      </c>
      <c r="L35" s="11">
        <v>200</v>
      </c>
      <c r="M35" s="18">
        <f t="shared" si="7"/>
        <v>-200</v>
      </c>
      <c r="N35" s="35">
        <f t="shared" si="1"/>
        <v>16.666666666666668</v>
      </c>
      <c r="O35" s="34">
        <f t="shared" si="29"/>
        <v>0.33333333333333326</v>
      </c>
      <c r="P35" s="11">
        <v>400</v>
      </c>
      <c r="Q35" s="18">
        <f t="shared" si="8"/>
        <v>100</v>
      </c>
      <c r="R35" s="35">
        <f t="shared" si="2"/>
        <v>33.333333333333336</v>
      </c>
      <c r="S35" s="34">
        <f t="shared" si="30"/>
        <v>0.5</v>
      </c>
      <c r="T35" s="11">
        <v>300</v>
      </c>
      <c r="U35" s="18">
        <f t="shared" si="9"/>
        <v>100</v>
      </c>
      <c r="V35" s="35">
        <f t="shared" si="22"/>
        <v>25</v>
      </c>
      <c r="W35" s="34" t="e">
        <f t="shared" si="10"/>
        <v>#DIV/0!</v>
      </c>
      <c r="X35" s="11">
        <v>200</v>
      </c>
      <c r="Y35" s="18">
        <f t="shared" si="11"/>
        <v>200</v>
      </c>
      <c r="Z35" s="35">
        <f t="shared" si="13"/>
        <v>16.666666666666668</v>
      </c>
      <c r="AA35" s="34"/>
      <c r="AB35" s="11"/>
      <c r="AC35" s="18">
        <f t="shared" si="24"/>
        <v>0</v>
      </c>
      <c r="AD35" s="35">
        <f t="shared" si="25"/>
        <v>0</v>
      </c>
      <c r="AE35" s="34"/>
      <c r="AF35" s="11"/>
      <c r="AG35" s="18">
        <f t="shared" si="14"/>
        <v>-757.66</v>
      </c>
      <c r="AH35" s="35">
        <f t="shared" si="15"/>
        <v>0</v>
      </c>
      <c r="AI35" s="10">
        <f t="shared" si="12"/>
        <v>3.5832677998911135</v>
      </c>
      <c r="AJ35" s="11">
        <v>757.66</v>
      </c>
      <c r="AK35" s="11">
        <v>165.31</v>
      </c>
      <c r="AL35" s="3"/>
    </row>
    <row r="36" spans="1:38" ht="15.75">
      <c r="A36" s="12" t="s">
        <v>60</v>
      </c>
      <c r="B36" s="6"/>
      <c r="C36" s="12" t="s">
        <v>61</v>
      </c>
      <c r="D36" s="6"/>
      <c r="E36" s="6"/>
      <c r="F36" s="6"/>
      <c r="G36" s="34" t="e">
        <f t="shared" si="27"/>
        <v>#DIV/0!</v>
      </c>
      <c r="H36" s="11"/>
      <c r="I36" s="18">
        <f t="shared" si="6"/>
        <v>0</v>
      </c>
      <c r="J36" s="35">
        <f t="shared" si="0"/>
        <v>0</v>
      </c>
      <c r="K36" s="34" t="e">
        <f t="shared" si="28"/>
        <v>#DIV/0!</v>
      </c>
      <c r="L36" s="11"/>
      <c r="M36" s="18">
        <f t="shared" si="7"/>
        <v>0</v>
      </c>
      <c r="N36" s="35">
        <f t="shared" si="1"/>
        <v>0</v>
      </c>
      <c r="O36" s="34" t="e">
        <f t="shared" si="29"/>
        <v>#DIV/0!</v>
      </c>
      <c r="P36" s="11"/>
      <c r="Q36" s="18">
        <f t="shared" si="8"/>
        <v>0</v>
      </c>
      <c r="R36" s="35">
        <f t="shared" si="2"/>
        <v>0</v>
      </c>
      <c r="S36" s="34" t="e">
        <f t="shared" si="30"/>
        <v>#DIV/0!</v>
      </c>
      <c r="T36" s="11"/>
      <c r="U36" s="18">
        <f t="shared" si="9"/>
        <v>0</v>
      </c>
      <c r="V36" s="35">
        <f t="shared" si="22"/>
        <v>0</v>
      </c>
      <c r="W36" s="34" t="e">
        <f t="shared" si="10"/>
        <v>#DIV/0!</v>
      </c>
      <c r="X36" s="11"/>
      <c r="Y36" s="18">
        <f t="shared" si="11"/>
        <v>0</v>
      </c>
      <c r="Z36" s="35">
        <f t="shared" si="13"/>
        <v>0</v>
      </c>
      <c r="AA36" s="34"/>
      <c r="AB36" s="11"/>
      <c r="AC36" s="18">
        <f t="shared" si="24"/>
        <v>0</v>
      </c>
      <c r="AD36" s="35">
        <f t="shared" si="25"/>
        <v>0</v>
      </c>
      <c r="AE36" s="34"/>
      <c r="AF36" s="11"/>
      <c r="AG36" s="18">
        <f t="shared" si="14"/>
        <v>0</v>
      </c>
      <c r="AH36" s="35">
        <f t="shared" si="15"/>
        <v>0</v>
      </c>
      <c r="AI36" s="10"/>
      <c r="AJ36" s="11"/>
      <c r="AK36" s="11"/>
      <c r="AL36" s="3"/>
    </row>
    <row r="37" spans="1:38" ht="15.75">
      <c r="A37" s="12" t="s">
        <v>62</v>
      </c>
      <c r="B37" s="6"/>
      <c r="C37" s="12" t="s">
        <v>63</v>
      </c>
      <c r="D37" s="6"/>
      <c r="E37" s="6"/>
      <c r="F37" s="6"/>
      <c r="G37" s="34" t="e">
        <f t="shared" si="27"/>
        <v>#DIV/0!</v>
      </c>
      <c r="H37" s="11"/>
      <c r="I37" s="18">
        <f t="shared" si="6"/>
        <v>0</v>
      </c>
      <c r="J37" s="35">
        <f t="shared" si="0"/>
        <v>0</v>
      </c>
      <c r="K37" s="34" t="e">
        <f t="shared" si="28"/>
        <v>#DIV/0!</v>
      </c>
      <c r="L37" s="11"/>
      <c r="M37" s="18">
        <f t="shared" si="7"/>
        <v>0</v>
      </c>
      <c r="N37" s="35">
        <f t="shared" si="1"/>
        <v>0</v>
      </c>
      <c r="O37" s="34" t="e">
        <f t="shared" si="29"/>
        <v>#DIV/0!</v>
      </c>
      <c r="P37" s="11"/>
      <c r="Q37" s="18">
        <f t="shared" si="8"/>
        <v>0</v>
      </c>
      <c r="R37" s="35">
        <f t="shared" si="2"/>
        <v>0</v>
      </c>
      <c r="S37" s="34" t="e">
        <f t="shared" si="30"/>
        <v>#DIV/0!</v>
      </c>
      <c r="T37" s="11"/>
      <c r="U37" s="18">
        <f t="shared" si="9"/>
        <v>0</v>
      </c>
      <c r="V37" s="35">
        <f t="shared" si="22"/>
        <v>0</v>
      </c>
      <c r="W37" s="34" t="e">
        <f t="shared" si="10"/>
        <v>#DIV/0!</v>
      </c>
      <c r="X37" s="11"/>
      <c r="Y37" s="18">
        <f t="shared" si="11"/>
        <v>0</v>
      </c>
      <c r="Z37" s="35">
        <f t="shared" si="13"/>
        <v>0</v>
      </c>
      <c r="AA37" s="34"/>
      <c r="AB37" s="11"/>
      <c r="AC37" s="18">
        <f t="shared" si="24"/>
        <v>0</v>
      </c>
      <c r="AD37" s="35">
        <f t="shared" si="25"/>
        <v>0</v>
      </c>
      <c r="AE37" s="34"/>
      <c r="AF37" s="11"/>
      <c r="AG37" s="18">
        <f t="shared" si="14"/>
        <v>0</v>
      </c>
      <c r="AH37" s="35">
        <f t="shared" si="15"/>
        <v>0</v>
      </c>
      <c r="AI37" s="10"/>
      <c r="AJ37" s="11"/>
      <c r="AK37" s="11"/>
      <c r="AL37" s="3"/>
    </row>
    <row r="38" spans="1:38" ht="15.75">
      <c r="A38" s="12" t="s">
        <v>64</v>
      </c>
      <c r="B38" s="6"/>
      <c r="C38" s="12" t="s">
        <v>65</v>
      </c>
      <c r="D38" s="6"/>
      <c r="E38" s="6"/>
      <c r="F38" s="6"/>
      <c r="G38" s="34" t="e">
        <f t="shared" si="27"/>
        <v>#DIV/0!</v>
      </c>
      <c r="H38" s="11"/>
      <c r="I38" s="18">
        <f t="shared" si="6"/>
        <v>0</v>
      </c>
      <c r="J38" s="35">
        <f t="shared" si="0"/>
        <v>0</v>
      </c>
      <c r="K38" s="34" t="e">
        <f t="shared" si="28"/>
        <v>#DIV/0!</v>
      </c>
      <c r="L38" s="11"/>
      <c r="M38" s="18">
        <f t="shared" si="7"/>
        <v>0</v>
      </c>
      <c r="N38" s="35">
        <f t="shared" si="1"/>
        <v>0</v>
      </c>
      <c r="O38" s="34" t="e">
        <f t="shared" si="29"/>
        <v>#DIV/0!</v>
      </c>
      <c r="P38" s="11"/>
      <c r="Q38" s="18">
        <f t="shared" si="8"/>
        <v>0</v>
      </c>
      <c r="R38" s="35">
        <f t="shared" si="2"/>
        <v>0</v>
      </c>
      <c r="S38" s="34" t="e">
        <f t="shared" si="30"/>
        <v>#DIV/0!</v>
      </c>
      <c r="T38" s="11"/>
      <c r="U38" s="18">
        <f t="shared" si="9"/>
        <v>0</v>
      </c>
      <c r="V38" s="35">
        <f t="shared" si="22"/>
        <v>0</v>
      </c>
      <c r="W38" s="34" t="e">
        <f t="shared" si="10"/>
        <v>#DIV/0!</v>
      </c>
      <c r="X38" s="11"/>
      <c r="Y38" s="18">
        <f t="shared" si="11"/>
        <v>0</v>
      </c>
      <c r="Z38" s="35">
        <f t="shared" si="13"/>
        <v>0</v>
      </c>
      <c r="AA38" s="34"/>
      <c r="AB38" s="11"/>
      <c r="AC38" s="18">
        <f t="shared" si="24"/>
        <v>0</v>
      </c>
      <c r="AD38" s="35">
        <f t="shared" si="25"/>
        <v>0</v>
      </c>
      <c r="AE38" s="34"/>
      <c r="AF38" s="11"/>
      <c r="AG38" s="18">
        <f t="shared" si="14"/>
        <v>0</v>
      </c>
      <c r="AH38" s="35">
        <f t="shared" si="15"/>
        <v>0</v>
      </c>
      <c r="AI38" s="10"/>
      <c r="AJ38" s="11"/>
      <c r="AK38" s="11"/>
      <c r="AL38" s="3"/>
    </row>
    <row r="39" spans="1:38" ht="15.75">
      <c r="A39" s="12" t="s">
        <v>66</v>
      </c>
      <c r="B39" s="6"/>
      <c r="C39" s="12" t="s">
        <v>67</v>
      </c>
      <c r="D39" s="6"/>
      <c r="E39" s="6"/>
      <c r="F39" s="6"/>
      <c r="G39" s="34" t="e">
        <f t="shared" si="27"/>
        <v>#DIV/0!</v>
      </c>
      <c r="H39" s="11"/>
      <c r="I39" s="18">
        <f t="shared" si="6"/>
        <v>0</v>
      </c>
      <c r="J39" s="35">
        <f t="shared" si="0"/>
        <v>0</v>
      </c>
      <c r="K39" s="34">
        <f t="shared" si="28"/>
        <v>-1</v>
      </c>
      <c r="L39" s="11"/>
      <c r="M39" s="18">
        <f t="shared" si="7"/>
        <v>-300</v>
      </c>
      <c r="N39" s="35">
        <f t="shared" si="1"/>
        <v>0</v>
      </c>
      <c r="O39" s="34" t="e">
        <f t="shared" si="29"/>
        <v>#DIV/0!</v>
      </c>
      <c r="P39" s="11">
        <v>300</v>
      </c>
      <c r="Q39" s="18">
        <f t="shared" si="8"/>
        <v>300</v>
      </c>
      <c r="R39" s="35">
        <f t="shared" si="2"/>
        <v>25</v>
      </c>
      <c r="S39" s="34">
        <f t="shared" si="30"/>
        <v>-1</v>
      </c>
      <c r="T39" s="11"/>
      <c r="U39" s="18">
        <f t="shared" si="9"/>
        <v>-300</v>
      </c>
      <c r="V39" s="35">
        <f t="shared" si="22"/>
        <v>0</v>
      </c>
      <c r="W39" s="34" t="e">
        <f t="shared" si="10"/>
        <v>#DIV/0!</v>
      </c>
      <c r="X39" s="11">
        <v>300</v>
      </c>
      <c r="Y39" s="18">
        <f t="shared" si="11"/>
        <v>300</v>
      </c>
      <c r="Z39" s="35">
        <f t="shared" si="13"/>
        <v>25</v>
      </c>
      <c r="AA39" s="34"/>
      <c r="AB39" s="11"/>
      <c r="AC39" s="18">
        <f t="shared" si="24"/>
        <v>0</v>
      </c>
      <c r="AD39" s="35">
        <f t="shared" si="25"/>
        <v>0</v>
      </c>
      <c r="AE39" s="34"/>
      <c r="AF39" s="11"/>
      <c r="AG39" s="18">
        <f t="shared" si="14"/>
        <v>0</v>
      </c>
      <c r="AH39" s="35">
        <f t="shared" si="15"/>
        <v>0</v>
      </c>
      <c r="AI39" s="10"/>
      <c r="AJ39" s="11"/>
      <c r="AK39" s="11"/>
      <c r="AL39" s="3"/>
    </row>
    <row r="40" spans="1:38" ht="15.75">
      <c r="A40" s="12" t="s">
        <v>68</v>
      </c>
      <c r="B40" s="6"/>
      <c r="C40" s="12" t="s">
        <v>69</v>
      </c>
      <c r="D40" s="6"/>
      <c r="E40" s="6"/>
      <c r="F40" s="6"/>
      <c r="G40" s="34" t="e">
        <f t="shared" si="27"/>
        <v>#DIV/0!</v>
      </c>
      <c r="H40" s="11"/>
      <c r="I40" s="18">
        <f t="shared" si="6"/>
        <v>0</v>
      </c>
      <c r="J40" s="35">
        <f t="shared" si="0"/>
        <v>0</v>
      </c>
      <c r="K40" s="34" t="e">
        <f t="shared" si="28"/>
        <v>#DIV/0!</v>
      </c>
      <c r="L40" s="11"/>
      <c r="M40" s="18">
        <f t="shared" si="7"/>
        <v>0</v>
      </c>
      <c r="N40" s="35">
        <f t="shared" si="1"/>
        <v>0</v>
      </c>
      <c r="O40" s="34" t="e">
        <f t="shared" si="29"/>
        <v>#DIV/0!</v>
      </c>
      <c r="P40" s="11"/>
      <c r="Q40" s="18">
        <f t="shared" si="8"/>
        <v>0</v>
      </c>
      <c r="R40" s="35">
        <f t="shared" si="2"/>
        <v>0</v>
      </c>
      <c r="S40" s="34" t="e">
        <f t="shared" si="30"/>
        <v>#DIV/0!</v>
      </c>
      <c r="T40" s="11"/>
      <c r="U40" s="18">
        <f t="shared" si="9"/>
        <v>0</v>
      </c>
      <c r="V40" s="35">
        <f t="shared" si="22"/>
        <v>0</v>
      </c>
      <c r="W40" s="34" t="e">
        <f t="shared" si="10"/>
        <v>#DIV/0!</v>
      </c>
      <c r="X40" s="11"/>
      <c r="Y40" s="18">
        <f t="shared" si="11"/>
        <v>0</v>
      </c>
      <c r="Z40" s="35">
        <f t="shared" si="13"/>
        <v>0</v>
      </c>
      <c r="AA40" s="34"/>
      <c r="AB40" s="11"/>
      <c r="AC40" s="18">
        <f t="shared" si="24"/>
        <v>0</v>
      </c>
      <c r="AD40" s="35">
        <f t="shared" si="25"/>
        <v>0</v>
      </c>
      <c r="AE40" s="34"/>
      <c r="AF40" s="11"/>
      <c r="AG40" s="18">
        <f t="shared" si="14"/>
        <v>0</v>
      </c>
      <c r="AH40" s="35">
        <f t="shared" si="15"/>
        <v>0</v>
      </c>
      <c r="AI40" s="10"/>
      <c r="AJ40" s="11"/>
      <c r="AK40" s="11"/>
      <c r="AL40" s="3"/>
    </row>
    <row r="41" spans="1:38" ht="15.75">
      <c r="A41" s="12" t="s">
        <v>70</v>
      </c>
      <c r="B41" s="6"/>
      <c r="C41" s="12" t="s">
        <v>71</v>
      </c>
      <c r="D41" s="6"/>
      <c r="E41" s="6"/>
      <c r="F41" s="6"/>
      <c r="G41" s="34" t="e">
        <f t="shared" si="27"/>
        <v>#DIV/0!</v>
      </c>
      <c r="H41" s="11"/>
      <c r="I41" s="18">
        <f t="shared" si="6"/>
        <v>0</v>
      </c>
      <c r="J41" s="35">
        <f t="shared" si="0"/>
        <v>0</v>
      </c>
      <c r="K41" s="34" t="e">
        <f t="shared" si="28"/>
        <v>#DIV/0!</v>
      </c>
      <c r="L41" s="11"/>
      <c r="M41" s="18">
        <f t="shared" si="7"/>
        <v>0</v>
      </c>
      <c r="N41" s="35">
        <f t="shared" si="1"/>
        <v>0</v>
      </c>
      <c r="O41" s="34" t="e">
        <f t="shared" si="29"/>
        <v>#DIV/0!</v>
      </c>
      <c r="P41" s="11"/>
      <c r="Q41" s="18">
        <f t="shared" si="8"/>
        <v>0</v>
      </c>
      <c r="R41" s="35">
        <f t="shared" si="2"/>
        <v>0</v>
      </c>
      <c r="S41" s="34" t="e">
        <f t="shared" si="30"/>
        <v>#DIV/0!</v>
      </c>
      <c r="T41" s="11"/>
      <c r="U41" s="18">
        <f t="shared" si="9"/>
        <v>0</v>
      </c>
      <c r="V41" s="35">
        <f t="shared" si="22"/>
        <v>0</v>
      </c>
      <c r="W41" s="34" t="e">
        <f t="shared" si="10"/>
        <v>#DIV/0!</v>
      </c>
      <c r="X41" s="11"/>
      <c r="Y41" s="18">
        <f t="shared" si="11"/>
        <v>0</v>
      </c>
      <c r="Z41" s="35">
        <f t="shared" si="13"/>
        <v>0</v>
      </c>
      <c r="AA41" s="34"/>
      <c r="AB41" s="11"/>
      <c r="AC41" s="18">
        <f t="shared" si="24"/>
        <v>0</v>
      </c>
      <c r="AD41" s="35">
        <f t="shared" si="25"/>
        <v>0</v>
      </c>
      <c r="AE41" s="34"/>
      <c r="AF41" s="11"/>
      <c r="AG41" s="18">
        <f t="shared" si="14"/>
        <v>0</v>
      </c>
      <c r="AH41" s="35">
        <f t="shared" si="15"/>
        <v>0</v>
      </c>
      <c r="AI41" s="10"/>
      <c r="AJ41" s="11"/>
      <c r="AK41" s="11"/>
      <c r="AL41" s="3"/>
    </row>
    <row r="42" spans="1:38" ht="15.75">
      <c r="A42" s="12" t="s">
        <v>72</v>
      </c>
      <c r="B42" s="6"/>
      <c r="C42" s="12" t="s">
        <v>73</v>
      </c>
      <c r="D42" s="6"/>
      <c r="E42" s="6"/>
      <c r="F42" s="6"/>
      <c r="G42" s="34" t="e">
        <f t="shared" si="27"/>
        <v>#DIV/0!</v>
      </c>
      <c r="H42" s="11"/>
      <c r="I42" s="18">
        <f t="shared" si="6"/>
        <v>0</v>
      </c>
      <c r="J42" s="35">
        <f t="shared" si="0"/>
        <v>0</v>
      </c>
      <c r="K42" s="34" t="e">
        <f t="shared" si="28"/>
        <v>#DIV/0!</v>
      </c>
      <c r="L42" s="11"/>
      <c r="M42" s="18">
        <f t="shared" si="7"/>
        <v>0</v>
      </c>
      <c r="N42" s="35">
        <f t="shared" si="1"/>
        <v>0</v>
      </c>
      <c r="O42" s="34" t="e">
        <f t="shared" si="29"/>
        <v>#DIV/0!</v>
      </c>
      <c r="P42" s="11"/>
      <c r="Q42" s="18">
        <f t="shared" si="8"/>
        <v>0</v>
      </c>
      <c r="R42" s="35">
        <f t="shared" si="2"/>
        <v>0</v>
      </c>
      <c r="S42" s="34" t="e">
        <f t="shared" si="30"/>
        <v>#DIV/0!</v>
      </c>
      <c r="T42" s="11"/>
      <c r="U42" s="18">
        <f t="shared" si="9"/>
        <v>0</v>
      </c>
      <c r="V42" s="35">
        <f t="shared" si="22"/>
        <v>0</v>
      </c>
      <c r="W42" s="34" t="e">
        <f t="shared" si="10"/>
        <v>#DIV/0!</v>
      </c>
      <c r="X42" s="11"/>
      <c r="Y42" s="18">
        <f t="shared" si="11"/>
        <v>0</v>
      </c>
      <c r="Z42" s="35">
        <f t="shared" si="13"/>
        <v>0</v>
      </c>
      <c r="AA42" s="34"/>
      <c r="AB42" s="11"/>
      <c r="AC42" s="18">
        <f t="shared" si="24"/>
        <v>0</v>
      </c>
      <c r="AD42" s="35">
        <f t="shared" si="25"/>
        <v>0</v>
      </c>
      <c r="AE42" s="34"/>
      <c r="AF42" s="11"/>
      <c r="AG42" s="18">
        <f t="shared" si="14"/>
        <v>0</v>
      </c>
      <c r="AH42" s="35">
        <f t="shared" si="15"/>
        <v>0</v>
      </c>
      <c r="AI42" s="10"/>
      <c r="AJ42" s="11"/>
      <c r="AK42" s="11"/>
      <c r="AL42" s="3"/>
    </row>
    <row r="43" spans="1:38" ht="15.75">
      <c r="A43" s="12" t="s">
        <v>74</v>
      </c>
      <c r="B43" s="6"/>
      <c r="C43" s="12" t="s">
        <v>75</v>
      </c>
      <c r="D43" s="6"/>
      <c r="E43" s="6"/>
      <c r="F43" s="6"/>
      <c r="G43" s="34" t="e">
        <f t="shared" si="27"/>
        <v>#DIV/0!</v>
      </c>
      <c r="H43" s="11"/>
      <c r="I43" s="18">
        <f t="shared" si="6"/>
        <v>0</v>
      </c>
      <c r="J43" s="35">
        <f t="shared" si="0"/>
        <v>0</v>
      </c>
      <c r="K43" s="34" t="e">
        <f t="shared" si="28"/>
        <v>#DIV/0!</v>
      </c>
      <c r="L43" s="11"/>
      <c r="M43" s="18">
        <f t="shared" si="7"/>
        <v>0</v>
      </c>
      <c r="N43" s="35">
        <f t="shared" si="1"/>
        <v>0</v>
      </c>
      <c r="O43" s="34" t="e">
        <f t="shared" si="29"/>
        <v>#DIV/0!</v>
      </c>
      <c r="P43" s="11"/>
      <c r="Q43" s="18">
        <f t="shared" si="8"/>
        <v>0</v>
      </c>
      <c r="R43" s="35">
        <f t="shared" si="2"/>
        <v>0</v>
      </c>
      <c r="S43" s="34" t="e">
        <f t="shared" si="30"/>
        <v>#DIV/0!</v>
      </c>
      <c r="T43" s="11"/>
      <c r="U43" s="18">
        <f t="shared" si="9"/>
        <v>0</v>
      </c>
      <c r="V43" s="35">
        <f t="shared" si="22"/>
        <v>0</v>
      </c>
      <c r="W43" s="34" t="e">
        <f t="shared" si="10"/>
        <v>#DIV/0!</v>
      </c>
      <c r="X43" s="11"/>
      <c r="Y43" s="18">
        <f t="shared" si="11"/>
        <v>0</v>
      </c>
      <c r="Z43" s="35">
        <f t="shared" si="13"/>
        <v>0</v>
      </c>
      <c r="AA43" s="34"/>
      <c r="AB43" s="11"/>
      <c r="AC43" s="18">
        <f t="shared" si="24"/>
        <v>0</v>
      </c>
      <c r="AD43" s="35">
        <f t="shared" si="25"/>
        <v>0</v>
      </c>
      <c r="AE43" s="34"/>
      <c r="AF43" s="11"/>
      <c r="AG43" s="18">
        <f t="shared" si="14"/>
        <v>0</v>
      </c>
      <c r="AH43" s="35">
        <f t="shared" si="15"/>
        <v>0</v>
      </c>
      <c r="AI43" s="10"/>
      <c r="AJ43" s="11"/>
      <c r="AK43" s="11"/>
      <c r="AL43" s="3"/>
    </row>
    <row r="44" spans="1:38" ht="15.75">
      <c r="A44" s="12" t="s">
        <v>76</v>
      </c>
      <c r="B44" s="6"/>
      <c r="C44" s="12" t="s">
        <v>77</v>
      </c>
      <c r="D44" s="6"/>
      <c r="E44" s="6"/>
      <c r="F44" s="6"/>
      <c r="G44" s="34" t="e">
        <f t="shared" si="27"/>
        <v>#DIV/0!</v>
      </c>
      <c r="H44" s="11">
        <v>675.42</v>
      </c>
      <c r="I44" s="18">
        <f t="shared" si="6"/>
        <v>675.42</v>
      </c>
      <c r="J44" s="35">
        <f t="shared" si="0"/>
        <v>56.285</v>
      </c>
      <c r="K44" s="34">
        <f t="shared" si="28"/>
        <v>-1</v>
      </c>
      <c r="L44" s="11"/>
      <c r="M44" s="18">
        <f t="shared" si="7"/>
        <v>-300</v>
      </c>
      <c r="N44" s="35">
        <f t="shared" si="1"/>
        <v>0</v>
      </c>
      <c r="O44" s="34" t="e">
        <f t="shared" si="29"/>
        <v>#DIV/0!</v>
      </c>
      <c r="P44" s="11">
        <v>300</v>
      </c>
      <c r="Q44" s="18">
        <f t="shared" si="8"/>
        <v>300</v>
      </c>
      <c r="R44" s="35">
        <f t="shared" si="2"/>
        <v>25</v>
      </c>
      <c r="S44" s="34">
        <f t="shared" si="30"/>
        <v>-1</v>
      </c>
      <c r="T44" s="11"/>
      <c r="U44" s="18">
        <f t="shared" si="9"/>
        <v>-250</v>
      </c>
      <c r="V44" s="35">
        <f t="shared" si="22"/>
        <v>0</v>
      </c>
      <c r="W44" s="34" t="e">
        <f t="shared" si="10"/>
        <v>#DIV/0!</v>
      </c>
      <c r="X44" s="11">
        <v>250</v>
      </c>
      <c r="Y44" s="18">
        <f t="shared" si="11"/>
        <v>250</v>
      </c>
      <c r="Z44" s="35">
        <f t="shared" si="13"/>
        <v>20.833333333333332</v>
      </c>
      <c r="AA44" s="34"/>
      <c r="AB44" s="11"/>
      <c r="AC44" s="18">
        <f t="shared" si="24"/>
        <v>0</v>
      </c>
      <c r="AD44" s="35">
        <f t="shared" si="25"/>
        <v>0</v>
      </c>
      <c r="AE44" s="34"/>
      <c r="AF44" s="11"/>
      <c r="AG44" s="18">
        <f t="shared" si="14"/>
        <v>0</v>
      </c>
      <c r="AH44" s="35">
        <f t="shared" si="15"/>
        <v>0</v>
      </c>
      <c r="AI44" s="10"/>
      <c r="AJ44" s="11"/>
      <c r="AK44" s="11"/>
      <c r="AL44" s="3"/>
    </row>
    <row r="45" spans="1:38" ht="15.75">
      <c r="A45" s="12" t="s">
        <v>78</v>
      </c>
      <c r="B45" s="6"/>
      <c r="C45" s="12" t="s">
        <v>79</v>
      </c>
      <c r="D45" s="6"/>
      <c r="E45" s="6"/>
      <c r="F45" s="6"/>
      <c r="G45" s="34" t="e">
        <f t="shared" si="27"/>
        <v>#DIV/0!</v>
      </c>
      <c r="H45" s="11"/>
      <c r="I45" s="18">
        <f t="shared" si="6"/>
        <v>0</v>
      </c>
      <c r="J45" s="35">
        <f t="shared" si="0"/>
        <v>0</v>
      </c>
      <c r="K45" s="34">
        <f t="shared" si="28"/>
        <v>-1</v>
      </c>
      <c r="L45" s="11"/>
      <c r="M45" s="18">
        <f t="shared" si="7"/>
        <v>-500</v>
      </c>
      <c r="N45" s="35">
        <f t="shared" si="1"/>
        <v>0</v>
      </c>
      <c r="O45" s="34" t="e">
        <f t="shared" si="29"/>
        <v>#DIV/0!</v>
      </c>
      <c r="P45" s="11">
        <v>500</v>
      </c>
      <c r="Q45" s="18">
        <f t="shared" si="8"/>
        <v>500</v>
      </c>
      <c r="R45" s="35">
        <f t="shared" si="2"/>
        <v>41.666666666666664</v>
      </c>
      <c r="S45" s="34">
        <f t="shared" si="30"/>
        <v>-1</v>
      </c>
      <c r="T45" s="11"/>
      <c r="U45" s="18">
        <f t="shared" si="9"/>
        <v>-500</v>
      </c>
      <c r="V45" s="35">
        <f t="shared" si="22"/>
        <v>0</v>
      </c>
      <c r="W45" s="34" t="e">
        <f t="shared" si="10"/>
        <v>#DIV/0!</v>
      </c>
      <c r="X45" s="11">
        <v>500</v>
      </c>
      <c r="Y45" s="18">
        <f t="shared" si="11"/>
        <v>500</v>
      </c>
      <c r="Z45" s="35">
        <f t="shared" si="13"/>
        <v>41.666666666666664</v>
      </c>
      <c r="AA45" s="34"/>
      <c r="AB45" s="11"/>
      <c r="AC45" s="18">
        <f t="shared" si="24"/>
        <v>0</v>
      </c>
      <c r="AD45" s="35">
        <f t="shared" si="25"/>
        <v>0</v>
      </c>
      <c r="AE45" s="34"/>
      <c r="AF45" s="11"/>
      <c r="AG45" s="18">
        <f t="shared" si="14"/>
        <v>0</v>
      </c>
      <c r="AH45" s="35">
        <f t="shared" si="15"/>
        <v>0</v>
      </c>
      <c r="AI45" s="10"/>
      <c r="AJ45" s="11"/>
      <c r="AK45" s="11"/>
      <c r="AL45" s="3"/>
    </row>
    <row r="46" spans="1:38" ht="15.75">
      <c r="A46" s="12" t="s">
        <v>80</v>
      </c>
      <c r="B46" s="6"/>
      <c r="C46" s="12" t="s">
        <v>81</v>
      </c>
      <c r="D46" s="6"/>
      <c r="E46" s="6"/>
      <c r="F46" s="6"/>
      <c r="G46" s="34">
        <f t="shared" si="27"/>
        <v>-1</v>
      </c>
      <c r="H46" s="11"/>
      <c r="I46" s="18">
        <f t="shared" si="6"/>
        <v>-50</v>
      </c>
      <c r="J46" s="35">
        <f t="shared" si="0"/>
        <v>0</v>
      </c>
      <c r="K46" s="34" t="e">
        <f t="shared" si="28"/>
        <v>#DIV/0!</v>
      </c>
      <c r="L46" s="11">
        <v>50</v>
      </c>
      <c r="M46" s="18">
        <f t="shared" si="7"/>
        <v>50</v>
      </c>
      <c r="N46" s="35">
        <f t="shared" si="1"/>
        <v>4.166666666666667</v>
      </c>
      <c r="O46" s="34" t="e">
        <f t="shared" si="29"/>
        <v>#DIV/0!</v>
      </c>
      <c r="P46" s="11"/>
      <c r="Q46" s="18">
        <f t="shared" si="8"/>
        <v>0</v>
      </c>
      <c r="R46" s="35">
        <f t="shared" si="2"/>
        <v>0</v>
      </c>
      <c r="S46" s="34" t="e">
        <f t="shared" si="30"/>
        <v>#DIV/0!</v>
      </c>
      <c r="T46" s="11"/>
      <c r="U46" s="18">
        <f t="shared" si="9"/>
        <v>0</v>
      </c>
      <c r="V46" s="35">
        <f t="shared" si="22"/>
        <v>0</v>
      </c>
      <c r="W46" s="34" t="e">
        <f t="shared" si="10"/>
        <v>#DIV/0!</v>
      </c>
      <c r="X46" s="11"/>
      <c r="Y46" s="18">
        <f t="shared" si="11"/>
        <v>0</v>
      </c>
      <c r="Z46" s="35">
        <f t="shared" si="13"/>
        <v>0</v>
      </c>
      <c r="AA46" s="34"/>
      <c r="AB46" s="11"/>
      <c r="AC46" s="18">
        <f t="shared" si="24"/>
        <v>0</v>
      </c>
      <c r="AD46" s="35">
        <f t="shared" si="25"/>
        <v>0</v>
      </c>
      <c r="AE46" s="34"/>
      <c r="AF46" s="11"/>
      <c r="AG46" s="18">
        <f t="shared" si="14"/>
        <v>0</v>
      </c>
      <c r="AH46" s="35">
        <f t="shared" si="15"/>
        <v>0</v>
      </c>
      <c r="AI46" s="10"/>
      <c r="AJ46" s="11"/>
      <c r="AK46" s="11"/>
      <c r="AL46" s="3"/>
    </row>
    <row r="47" spans="1:38" ht="15.75">
      <c r="A47" s="12" t="s">
        <v>82</v>
      </c>
      <c r="B47" s="6"/>
      <c r="C47" s="12" t="s">
        <v>83</v>
      </c>
      <c r="D47" s="6"/>
      <c r="E47" s="6"/>
      <c r="F47" s="6"/>
      <c r="G47" s="34" t="e">
        <f t="shared" si="27"/>
        <v>#DIV/0!</v>
      </c>
      <c r="H47" s="11"/>
      <c r="I47" s="18">
        <f t="shared" si="6"/>
        <v>0</v>
      </c>
      <c r="J47" s="35">
        <f t="shared" si="0"/>
        <v>0</v>
      </c>
      <c r="K47" s="34" t="e">
        <f t="shared" si="28"/>
        <v>#DIV/0!</v>
      </c>
      <c r="L47" s="11"/>
      <c r="M47" s="18">
        <f t="shared" si="7"/>
        <v>0</v>
      </c>
      <c r="N47" s="35">
        <f t="shared" si="1"/>
        <v>0</v>
      </c>
      <c r="O47" s="34" t="e">
        <f t="shared" si="29"/>
        <v>#DIV/0!</v>
      </c>
      <c r="P47" s="11"/>
      <c r="Q47" s="18">
        <f t="shared" si="8"/>
        <v>0</v>
      </c>
      <c r="R47" s="35">
        <f t="shared" si="2"/>
        <v>0</v>
      </c>
      <c r="S47" s="34" t="e">
        <f t="shared" si="30"/>
        <v>#DIV/0!</v>
      </c>
      <c r="T47" s="11"/>
      <c r="U47" s="18">
        <f t="shared" si="9"/>
        <v>0</v>
      </c>
      <c r="V47" s="35">
        <f t="shared" si="22"/>
        <v>0</v>
      </c>
      <c r="W47" s="34" t="e">
        <f t="shared" si="10"/>
        <v>#DIV/0!</v>
      </c>
      <c r="X47" s="11"/>
      <c r="Y47" s="18">
        <f t="shared" si="11"/>
        <v>0</v>
      </c>
      <c r="Z47" s="35">
        <f t="shared" si="13"/>
        <v>0</v>
      </c>
      <c r="AA47" s="34"/>
      <c r="AB47" s="11"/>
      <c r="AC47" s="18">
        <f t="shared" si="24"/>
        <v>0</v>
      </c>
      <c r="AD47" s="35">
        <f t="shared" si="25"/>
        <v>0</v>
      </c>
      <c r="AE47" s="34"/>
      <c r="AF47" s="11"/>
      <c r="AG47" s="18">
        <f t="shared" si="14"/>
        <v>0</v>
      </c>
      <c r="AH47" s="35">
        <f t="shared" si="15"/>
        <v>0</v>
      </c>
      <c r="AI47" s="10"/>
      <c r="AJ47" s="11"/>
      <c r="AK47" s="11"/>
      <c r="AL47" s="3"/>
    </row>
    <row r="48" spans="1:38" ht="15.75">
      <c r="A48" s="12" t="s">
        <v>84</v>
      </c>
      <c r="B48" s="6"/>
      <c r="C48" s="12" t="s">
        <v>85</v>
      </c>
      <c r="D48" s="6"/>
      <c r="E48" s="6"/>
      <c r="F48" s="6"/>
      <c r="G48" s="34">
        <f t="shared" si="27"/>
        <v>2.136259416966918</v>
      </c>
      <c r="H48" s="11">
        <v>766</v>
      </c>
      <c r="I48" s="18">
        <f t="shared" si="6"/>
        <v>521.76</v>
      </c>
      <c r="J48" s="35">
        <f t="shared" si="0"/>
        <v>63.833333333333336</v>
      </c>
      <c r="K48" s="34">
        <f t="shared" si="28"/>
        <v>-0.75576</v>
      </c>
      <c r="L48" s="11">
        <v>244.24</v>
      </c>
      <c r="M48" s="18">
        <f t="shared" si="7"/>
        <v>-755.76</v>
      </c>
      <c r="N48" s="35">
        <f t="shared" si="1"/>
        <v>20.353333333333335</v>
      </c>
      <c r="O48" s="34">
        <f t="shared" si="29"/>
        <v>0.1428571428571428</v>
      </c>
      <c r="P48" s="11">
        <v>1000</v>
      </c>
      <c r="Q48" s="18">
        <f t="shared" si="8"/>
        <v>125</v>
      </c>
      <c r="R48" s="35">
        <f t="shared" si="2"/>
        <v>83.33333333333333</v>
      </c>
      <c r="S48" s="34">
        <f t="shared" si="30"/>
        <v>-0.30000000000000004</v>
      </c>
      <c r="T48" s="11">
        <v>875</v>
      </c>
      <c r="U48" s="18">
        <f t="shared" si="9"/>
        <v>-375</v>
      </c>
      <c r="V48" s="35">
        <f t="shared" si="22"/>
        <v>72.91666666666667</v>
      </c>
      <c r="W48" s="34">
        <f t="shared" si="10"/>
        <v>-0.4151992065422835</v>
      </c>
      <c r="X48" s="11">
        <v>1250</v>
      </c>
      <c r="Y48" s="18">
        <f t="shared" si="11"/>
        <v>-887.48</v>
      </c>
      <c r="Z48" s="35">
        <f t="shared" si="13"/>
        <v>104.16666666666667</v>
      </c>
      <c r="AA48" s="34" t="e">
        <f>AB48/AF48-1</f>
        <v>#DIV/0!</v>
      </c>
      <c r="AB48" s="11">
        <v>2137.48</v>
      </c>
      <c r="AC48" s="18">
        <f t="shared" si="24"/>
        <v>2137.48</v>
      </c>
      <c r="AD48" s="35">
        <f t="shared" si="25"/>
        <v>178.12333333333333</v>
      </c>
      <c r="AE48" s="34">
        <f>AF48/AJ48-1</f>
        <v>-1</v>
      </c>
      <c r="AF48" s="11"/>
      <c r="AG48" s="18">
        <f t="shared" si="14"/>
        <v>-285.11</v>
      </c>
      <c r="AH48" s="35">
        <f t="shared" si="15"/>
        <v>0</v>
      </c>
      <c r="AI48" s="10">
        <f t="shared" si="12"/>
        <v>8.503666666666668</v>
      </c>
      <c r="AJ48" s="11">
        <v>285.11</v>
      </c>
      <c r="AK48" s="11">
        <v>30</v>
      </c>
      <c r="AL48" s="3"/>
    </row>
    <row r="49" spans="1:38" s="20" customFormat="1" ht="15.75">
      <c r="A49" s="15"/>
      <c r="B49" s="16" t="s">
        <v>86</v>
      </c>
      <c r="C49" s="15"/>
      <c r="D49" s="16" t="s">
        <v>87</v>
      </c>
      <c r="E49" s="6"/>
      <c r="F49" s="6"/>
      <c r="G49" s="32">
        <f t="shared" si="27"/>
        <v>0.20730117340286824</v>
      </c>
      <c r="H49" s="18">
        <f>SUM(H50:H53)</f>
        <v>13427</v>
      </c>
      <c r="I49" s="18">
        <f t="shared" si="6"/>
        <v>2305.5</v>
      </c>
      <c r="J49" s="33">
        <f t="shared" si="0"/>
        <v>1118.9166666666667</v>
      </c>
      <c r="K49" s="32">
        <f t="shared" si="28"/>
        <v>0.023524073959887426</v>
      </c>
      <c r="L49" s="18">
        <f>SUM(L50:L53)</f>
        <v>11121.5</v>
      </c>
      <c r="M49" s="18">
        <f t="shared" si="7"/>
        <v>255.61000000000058</v>
      </c>
      <c r="N49" s="33">
        <f t="shared" si="1"/>
        <v>926.7916666666666</v>
      </c>
      <c r="O49" s="32">
        <f t="shared" si="29"/>
        <v>0.2774382788619798</v>
      </c>
      <c r="P49" s="18">
        <f>SUM(P50:P53)</f>
        <v>10865.89</v>
      </c>
      <c r="Q49" s="18">
        <f t="shared" si="8"/>
        <v>2359.8899999999994</v>
      </c>
      <c r="R49" s="33">
        <f t="shared" si="2"/>
        <v>905.4908333333333</v>
      </c>
      <c r="S49" s="32">
        <f t="shared" si="30"/>
        <v>-0.18234652896200498</v>
      </c>
      <c r="T49" s="18">
        <f>SUM(T50:T53)</f>
        <v>8506</v>
      </c>
      <c r="U49" s="18">
        <f t="shared" si="9"/>
        <v>-1896.9400000000005</v>
      </c>
      <c r="V49" s="33">
        <f t="shared" si="22"/>
        <v>708.8333333333334</v>
      </c>
      <c r="W49" s="32">
        <f t="shared" si="10"/>
        <v>-0.13825878064943664</v>
      </c>
      <c r="X49" s="18">
        <f>SUM(X50:X53)</f>
        <v>10402.94</v>
      </c>
      <c r="Y49" s="18">
        <f t="shared" si="11"/>
        <v>-1669.0599999999995</v>
      </c>
      <c r="Z49" s="33">
        <f t="shared" si="13"/>
        <v>866.9116666666667</v>
      </c>
      <c r="AA49" s="32">
        <f>AB49/AF49-1</f>
        <v>-0.20072670838707296</v>
      </c>
      <c r="AB49" s="18">
        <f>SUM(AB50:AB53)</f>
        <v>12072</v>
      </c>
      <c r="AC49" s="18">
        <f t="shared" si="24"/>
        <v>-3031.720000000001</v>
      </c>
      <c r="AD49" s="33">
        <f t="shared" si="25"/>
        <v>1006</v>
      </c>
      <c r="AE49" s="32">
        <f>AF49/AJ49-1</f>
        <v>0.0025369221068003434</v>
      </c>
      <c r="AF49" s="18">
        <f>SUM(AF50:AF53)</f>
        <v>15103.720000000001</v>
      </c>
      <c r="AG49" s="18">
        <f t="shared" si="14"/>
        <v>38.220000000001164</v>
      </c>
      <c r="AH49" s="33">
        <f t="shared" si="15"/>
        <v>1258.6433333333334</v>
      </c>
      <c r="AI49" s="17">
        <f t="shared" si="12"/>
        <v>-0.00019776380895752954</v>
      </c>
      <c r="AJ49" s="18">
        <f>SUM(AJ50:AJ53)</f>
        <v>15065.5</v>
      </c>
      <c r="AK49" s="18">
        <f>SUM(AK50:AK53)</f>
        <v>15068.48</v>
      </c>
      <c r="AL49" s="19">
        <f>SUM(AL50:AL53)</f>
        <v>0</v>
      </c>
    </row>
    <row r="50" spans="1:38" ht="15.75">
      <c r="A50" s="12" t="s">
        <v>88</v>
      </c>
      <c r="B50" s="6"/>
      <c r="C50" s="12" t="s">
        <v>89</v>
      </c>
      <c r="D50" s="6"/>
      <c r="E50" s="6" t="s">
        <v>88</v>
      </c>
      <c r="F50" s="6">
        <v>3749.02</v>
      </c>
      <c r="G50" s="34">
        <f t="shared" si="27"/>
        <v>-0.08294717330861912</v>
      </c>
      <c r="H50" s="11">
        <v>989.5</v>
      </c>
      <c r="I50" s="18">
        <f t="shared" si="6"/>
        <v>-89.5</v>
      </c>
      <c r="J50" s="35">
        <f t="shared" si="0"/>
        <v>82.45833333333333</v>
      </c>
      <c r="K50" s="34">
        <f t="shared" si="28"/>
        <v>0.06737627239363331</v>
      </c>
      <c r="L50" s="11">
        <v>1079</v>
      </c>
      <c r="M50" s="18">
        <f t="shared" si="7"/>
        <v>68.11000000000001</v>
      </c>
      <c r="N50" s="35">
        <f t="shared" si="1"/>
        <v>89.91666666666667</v>
      </c>
      <c r="O50" s="34">
        <f t="shared" si="29"/>
        <v>0.8346460980036297</v>
      </c>
      <c r="P50" s="11">
        <v>1010.89</v>
      </c>
      <c r="Q50" s="18">
        <f t="shared" si="8"/>
        <v>459.89</v>
      </c>
      <c r="R50" s="35">
        <f t="shared" si="2"/>
        <v>84.24083333333333</v>
      </c>
      <c r="S50" s="34">
        <f t="shared" si="30"/>
        <v>-0.4187395826740089</v>
      </c>
      <c r="T50" s="11">
        <v>551</v>
      </c>
      <c r="U50" s="18">
        <f t="shared" si="9"/>
        <v>-396.94000000000005</v>
      </c>
      <c r="V50" s="35">
        <f t="shared" si="22"/>
        <v>45.916666666666664</v>
      </c>
      <c r="W50" s="34">
        <f t="shared" si="10"/>
        <v>-0.522808960483262</v>
      </c>
      <c r="X50" s="11">
        <v>947.94</v>
      </c>
      <c r="Y50" s="18">
        <f t="shared" si="11"/>
        <v>-1038.56</v>
      </c>
      <c r="Z50" s="35">
        <f t="shared" si="13"/>
        <v>78.995</v>
      </c>
      <c r="AA50" s="34">
        <f>AB50/AF50-1</f>
        <v>-0.470128193501235</v>
      </c>
      <c r="AB50" s="11">
        <v>1986.5</v>
      </c>
      <c r="AC50" s="18">
        <f t="shared" si="24"/>
        <v>-1762.52</v>
      </c>
      <c r="AD50" s="35">
        <f t="shared" si="25"/>
        <v>165.54166666666666</v>
      </c>
      <c r="AE50" s="34">
        <f>AF50/AJ50-1</f>
        <v>0.21053277365192113</v>
      </c>
      <c r="AF50" s="11">
        <v>3749.02</v>
      </c>
      <c r="AG50" s="18">
        <f t="shared" si="14"/>
        <v>652.02</v>
      </c>
      <c r="AH50" s="35">
        <f t="shared" si="15"/>
        <v>312.41833333333335</v>
      </c>
      <c r="AI50" s="10">
        <f t="shared" si="12"/>
        <v>0.4268733183443294</v>
      </c>
      <c r="AJ50" s="11">
        <v>3097</v>
      </c>
      <c r="AK50" s="11">
        <v>2170.48</v>
      </c>
      <c r="AL50" s="3"/>
    </row>
    <row r="51" spans="1:38" ht="15.75">
      <c r="A51" s="12" t="s">
        <v>90</v>
      </c>
      <c r="B51" s="6"/>
      <c r="C51" s="12" t="s">
        <v>91</v>
      </c>
      <c r="D51" s="6"/>
      <c r="E51" s="6" t="s">
        <v>90</v>
      </c>
      <c r="F51" s="6">
        <v>3572.5</v>
      </c>
      <c r="G51" s="34">
        <f t="shared" si="27"/>
        <v>0.2930036822724882</v>
      </c>
      <c r="H51" s="11">
        <v>6145</v>
      </c>
      <c r="I51" s="18">
        <f t="shared" si="6"/>
        <v>1392.5</v>
      </c>
      <c r="J51" s="35">
        <f t="shared" si="0"/>
        <v>512.0833333333334</v>
      </c>
      <c r="K51" s="34">
        <f t="shared" si="28"/>
        <v>0.3520625889046942</v>
      </c>
      <c r="L51" s="11">
        <v>4752.5</v>
      </c>
      <c r="M51" s="18">
        <f t="shared" si="7"/>
        <v>1237.5</v>
      </c>
      <c r="N51" s="35">
        <f t="shared" si="1"/>
        <v>396.0416666666667</v>
      </c>
      <c r="O51" s="34">
        <f t="shared" si="29"/>
        <v>-0.1207004377736085</v>
      </c>
      <c r="P51" s="11">
        <v>3515</v>
      </c>
      <c r="Q51" s="18">
        <f t="shared" si="8"/>
        <v>-482.5</v>
      </c>
      <c r="R51" s="35">
        <f t="shared" si="2"/>
        <v>292.9166666666667</v>
      </c>
      <c r="S51" s="34">
        <f t="shared" si="30"/>
        <v>-0.2810251798561151</v>
      </c>
      <c r="T51" s="11">
        <v>3997.5</v>
      </c>
      <c r="U51" s="18">
        <f t="shared" si="9"/>
        <v>-1562.5</v>
      </c>
      <c r="V51" s="35">
        <f t="shared" si="22"/>
        <v>333.125</v>
      </c>
      <c r="W51" s="34">
        <f t="shared" si="10"/>
        <v>0.20738327904451692</v>
      </c>
      <c r="X51" s="11">
        <v>5560</v>
      </c>
      <c r="Y51" s="18">
        <f t="shared" si="11"/>
        <v>955</v>
      </c>
      <c r="Z51" s="35">
        <f t="shared" si="13"/>
        <v>463.3333333333333</v>
      </c>
      <c r="AA51" s="34">
        <f>AB51/AF51-1</f>
        <v>0.28901329601119663</v>
      </c>
      <c r="AB51" s="11">
        <v>4605</v>
      </c>
      <c r="AC51" s="18">
        <f t="shared" si="24"/>
        <v>1032.5</v>
      </c>
      <c r="AD51" s="35">
        <f t="shared" si="25"/>
        <v>383.75</v>
      </c>
      <c r="AE51" s="34">
        <f>AF51/AJ51-1</f>
        <v>-0.09671302149178251</v>
      </c>
      <c r="AF51" s="11">
        <v>3572.5</v>
      </c>
      <c r="AG51" s="18">
        <f t="shared" si="14"/>
        <v>-382.5</v>
      </c>
      <c r="AH51" s="35">
        <f t="shared" si="15"/>
        <v>297.7083333333333</v>
      </c>
      <c r="AI51" s="10">
        <f t="shared" si="12"/>
        <v>-0.06754685842272778</v>
      </c>
      <c r="AJ51" s="11">
        <v>3955</v>
      </c>
      <c r="AK51" s="11">
        <v>4241.5</v>
      </c>
      <c r="AL51" s="3"/>
    </row>
    <row r="52" spans="1:38" ht="15.75">
      <c r="A52" s="12" t="s">
        <v>92</v>
      </c>
      <c r="B52" s="6"/>
      <c r="C52" s="12" t="s">
        <v>93</v>
      </c>
      <c r="D52" s="6"/>
      <c r="E52" s="6" t="s">
        <v>92</v>
      </c>
      <c r="F52" s="6">
        <v>7782.2</v>
      </c>
      <c r="G52" s="34">
        <f t="shared" si="27"/>
        <v>0.18950850661625718</v>
      </c>
      <c r="H52" s="11">
        <v>6292.5</v>
      </c>
      <c r="I52" s="18">
        <f t="shared" si="6"/>
        <v>1002.5</v>
      </c>
      <c r="J52" s="35">
        <f t="shared" si="0"/>
        <v>524.375</v>
      </c>
      <c r="K52" s="34">
        <f t="shared" si="28"/>
        <v>-0.15359999999999996</v>
      </c>
      <c r="L52" s="11">
        <v>5290</v>
      </c>
      <c r="M52" s="18">
        <f t="shared" si="7"/>
        <v>-960</v>
      </c>
      <c r="N52" s="35">
        <f t="shared" si="1"/>
        <v>440.8333333333333</v>
      </c>
      <c r="O52" s="34">
        <f t="shared" si="29"/>
        <v>0.6005121638924455</v>
      </c>
      <c r="P52" s="11">
        <v>6250</v>
      </c>
      <c r="Q52" s="18">
        <f t="shared" si="8"/>
        <v>2345</v>
      </c>
      <c r="R52" s="35">
        <f t="shared" si="2"/>
        <v>520.8333333333334</v>
      </c>
      <c r="S52" s="34">
        <f t="shared" si="30"/>
        <v>0.0025673940949935137</v>
      </c>
      <c r="T52" s="11">
        <v>3905</v>
      </c>
      <c r="U52" s="18">
        <f t="shared" si="9"/>
        <v>10</v>
      </c>
      <c r="V52" s="35">
        <f t="shared" si="22"/>
        <v>325.4166666666667</v>
      </c>
      <c r="W52" s="34">
        <f t="shared" si="10"/>
        <v>-0.28929842167685427</v>
      </c>
      <c r="X52" s="11">
        <v>3895</v>
      </c>
      <c r="Y52" s="18">
        <f t="shared" si="11"/>
        <v>-1585.5</v>
      </c>
      <c r="Z52" s="35">
        <f t="shared" si="13"/>
        <v>324.5833333333333</v>
      </c>
      <c r="AA52" s="34">
        <f>AB52/AF52-1</f>
        <v>-0.2957646937883889</v>
      </c>
      <c r="AB52" s="11">
        <v>5480.5</v>
      </c>
      <c r="AC52" s="18">
        <f t="shared" si="24"/>
        <v>-2301.7</v>
      </c>
      <c r="AD52" s="35">
        <f t="shared" si="25"/>
        <v>456.7083333333333</v>
      </c>
      <c r="AE52" s="34">
        <f>AF52/AJ52-1</f>
        <v>-0.0288637923504087</v>
      </c>
      <c r="AF52" s="11">
        <v>7782.2</v>
      </c>
      <c r="AG52" s="18">
        <f t="shared" si="14"/>
        <v>-231.30000000000018</v>
      </c>
      <c r="AH52" s="35">
        <f t="shared" si="15"/>
        <v>648.5166666666667</v>
      </c>
      <c r="AI52" s="10">
        <f t="shared" si="12"/>
        <v>-0.06537205505015165</v>
      </c>
      <c r="AJ52" s="11">
        <v>8013.5</v>
      </c>
      <c r="AK52" s="11">
        <v>8574</v>
      </c>
      <c r="AL52" s="3"/>
    </row>
    <row r="53" spans="1:38" ht="15.75">
      <c r="A53" s="12" t="s">
        <v>94</v>
      </c>
      <c r="B53" s="6"/>
      <c r="C53" s="12" t="s">
        <v>26</v>
      </c>
      <c r="D53" s="6"/>
      <c r="E53" s="6"/>
      <c r="F53" s="6"/>
      <c r="G53" s="34" t="e">
        <f t="shared" si="27"/>
        <v>#DIV/0!</v>
      </c>
      <c r="H53" s="11"/>
      <c r="I53" s="18">
        <f t="shared" si="6"/>
        <v>0</v>
      </c>
      <c r="J53" s="35">
        <f t="shared" si="0"/>
        <v>0</v>
      </c>
      <c r="K53" s="34">
        <f t="shared" si="28"/>
        <v>-1</v>
      </c>
      <c r="L53" s="11"/>
      <c r="M53" s="18">
        <f t="shared" si="7"/>
        <v>-90</v>
      </c>
      <c r="N53" s="35">
        <f t="shared" si="1"/>
        <v>0</v>
      </c>
      <c r="O53" s="34">
        <f t="shared" si="29"/>
        <v>0.7142857142857142</v>
      </c>
      <c r="P53" s="11">
        <v>90</v>
      </c>
      <c r="Q53" s="18">
        <f t="shared" si="8"/>
        <v>37.5</v>
      </c>
      <c r="R53" s="35">
        <f t="shared" si="2"/>
        <v>7.5</v>
      </c>
      <c r="S53" s="34" t="e">
        <f t="shared" si="30"/>
        <v>#DIV/0!</v>
      </c>
      <c r="T53" s="11">
        <v>52.5</v>
      </c>
      <c r="U53" s="18">
        <f t="shared" si="9"/>
        <v>52.5</v>
      </c>
      <c r="V53" s="35">
        <f t="shared" si="22"/>
        <v>4.375</v>
      </c>
      <c r="W53" s="34" t="e">
        <f t="shared" si="10"/>
        <v>#DIV/0!</v>
      </c>
      <c r="X53" s="11"/>
      <c r="Y53" s="18">
        <f t="shared" si="11"/>
        <v>0</v>
      </c>
      <c r="Z53" s="35">
        <f t="shared" si="13"/>
        <v>0</v>
      </c>
      <c r="AA53" s="34"/>
      <c r="AB53" s="11"/>
      <c r="AC53" s="18">
        <f t="shared" si="24"/>
        <v>0</v>
      </c>
      <c r="AD53" s="35">
        <f t="shared" si="25"/>
        <v>0</v>
      </c>
      <c r="AE53" s="34"/>
      <c r="AF53" s="11"/>
      <c r="AG53" s="18">
        <f t="shared" si="14"/>
        <v>0</v>
      </c>
      <c r="AH53" s="35">
        <f t="shared" si="15"/>
        <v>0</v>
      </c>
      <c r="AI53" s="10">
        <f t="shared" si="12"/>
        <v>-1</v>
      </c>
      <c r="AJ53" s="11"/>
      <c r="AK53" s="11">
        <v>82.5</v>
      </c>
      <c r="AL53" s="3"/>
    </row>
    <row r="54" spans="1:38" s="20" customFormat="1" ht="15.75">
      <c r="A54" s="15"/>
      <c r="B54" s="16" t="s">
        <v>95</v>
      </c>
      <c r="C54" s="15"/>
      <c r="D54" s="16" t="s">
        <v>96</v>
      </c>
      <c r="E54" s="6"/>
      <c r="F54" s="6"/>
      <c r="G54" s="32">
        <f t="shared" si="27"/>
        <v>-0.10636988887804577</v>
      </c>
      <c r="H54" s="18">
        <f>SUM(H55:H59)</f>
        <v>2106.17</v>
      </c>
      <c r="I54" s="18">
        <f t="shared" si="6"/>
        <v>-250.69999999999982</v>
      </c>
      <c r="J54" s="33">
        <f t="shared" si="0"/>
        <v>175.51416666666668</v>
      </c>
      <c r="K54" s="32">
        <f t="shared" si="28"/>
        <v>-0.3934269279767343</v>
      </c>
      <c r="L54" s="18">
        <f>SUM(L55:L59)</f>
        <v>2356.87</v>
      </c>
      <c r="M54" s="18">
        <f t="shared" si="7"/>
        <v>-1528.6799999999998</v>
      </c>
      <c r="N54" s="33">
        <f t="shared" si="1"/>
        <v>196.40583333333333</v>
      </c>
      <c r="O54" s="32">
        <f t="shared" si="29"/>
        <v>-0.5582604405174159</v>
      </c>
      <c r="P54" s="18">
        <f>SUM(P55:P59)</f>
        <v>3885.5499999999997</v>
      </c>
      <c r="Q54" s="18">
        <f t="shared" si="8"/>
        <v>-4910.470000000001</v>
      </c>
      <c r="R54" s="33">
        <f t="shared" si="2"/>
        <v>323.7958333333333</v>
      </c>
      <c r="S54" s="32">
        <f t="shared" si="30"/>
        <v>0.19440548045652362</v>
      </c>
      <c r="T54" s="18">
        <f>SUM(T55:T59)</f>
        <v>8796.02</v>
      </c>
      <c r="U54" s="18">
        <f t="shared" si="9"/>
        <v>1431.67</v>
      </c>
      <c r="V54" s="33">
        <f t="shared" si="22"/>
        <v>733.0016666666667</v>
      </c>
      <c r="W54" s="32">
        <f t="shared" si="10"/>
        <v>1.7597546168605351</v>
      </c>
      <c r="X54" s="18">
        <f>SUM(X55:X59)</f>
        <v>7364.35</v>
      </c>
      <c r="Y54" s="18">
        <f t="shared" si="11"/>
        <v>4695.870000000001</v>
      </c>
      <c r="Z54" s="33">
        <f t="shared" si="13"/>
        <v>613.6958333333333</v>
      </c>
      <c r="AA54" s="32">
        <f>AB54/AF54-1</f>
        <v>-0.8669891980562383</v>
      </c>
      <c r="AB54" s="18">
        <f>SUM(AB55:AB59)</f>
        <v>2668.48</v>
      </c>
      <c r="AC54" s="18">
        <f t="shared" si="24"/>
        <v>-17393.65</v>
      </c>
      <c r="AD54" s="33">
        <f t="shared" si="25"/>
        <v>222.37333333333333</v>
      </c>
      <c r="AE54" s="32">
        <f>AF54/AJ54-1</f>
        <v>0.3460478634933011</v>
      </c>
      <c r="AF54" s="18">
        <f>SUM(AF55:AF59)</f>
        <v>20062.13</v>
      </c>
      <c r="AG54" s="18">
        <f t="shared" si="14"/>
        <v>5157.660000000002</v>
      </c>
      <c r="AH54" s="33">
        <f t="shared" si="15"/>
        <v>1671.8441666666668</v>
      </c>
      <c r="AI54" s="17">
        <f t="shared" si="12"/>
        <v>-0.1396892958650514</v>
      </c>
      <c r="AJ54" s="18">
        <f>SUM(AJ55:AJ59)</f>
        <v>14904.47</v>
      </c>
      <c r="AK54" s="18">
        <f>SUM(AK55:AK59)</f>
        <v>17324.52</v>
      </c>
      <c r="AL54" s="19">
        <f>SUM(AL55:AL59)</f>
        <v>0</v>
      </c>
    </row>
    <row r="55" spans="1:38" ht="15.75">
      <c r="A55" s="12" t="s">
        <v>97</v>
      </c>
      <c r="B55" s="6"/>
      <c r="C55" s="12" t="s">
        <v>98</v>
      </c>
      <c r="D55" s="6"/>
      <c r="E55" s="6"/>
      <c r="F55" s="6"/>
      <c r="G55" s="34" t="e">
        <f t="shared" si="27"/>
        <v>#DIV/0!</v>
      </c>
      <c r="H55" s="11"/>
      <c r="I55" s="18">
        <f t="shared" si="6"/>
        <v>0</v>
      </c>
      <c r="J55" s="35">
        <f t="shared" si="0"/>
        <v>0</v>
      </c>
      <c r="K55" s="34" t="e">
        <f t="shared" si="28"/>
        <v>#DIV/0!</v>
      </c>
      <c r="L55" s="11"/>
      <c r="M55" s="18">
        <f t="shared" si="7"/>
        <v>0</v>
      </c>
      <c r="N55" s="35">
        <f t="shared" si="1"/>
        <v>0</v>
      </c>
      <c r="O55" s="34" t="e">
        <f t="shared" si="29"/>
        <v>#DIV/0!</v>
      </c>
      <c r="P55" s="11"/>
      <c r="Q55" s="18">
        <f t="shared" si="8"/>
        <v>0</v>
      </c>
      <c r="R55" s="35">
        <f t="shared" si="2"/>
        <v>0</v>
      </c>
      <c r="S55" s="34" t="e">
        <f t="shared" si="30"/>
        <v>#DIV/0!</v>
      </c>
      <c r="T55" s="11"/>
      <c r="U55" s="18">
        <f t="shared" si="9"/>
        <v>0</v>
      </c>
      <c r="V55" s="35">
        <f t="shared" si="22"/>
        <v>0</v>
      </c>
      <c r="W55" s="34" t="e">
        <f t="shared" si="10"/>
        <v>#DIV/0!</v>
      </c>
      <c r="X55" s="11"/>
      <c r="Y55" s="18">
        <f t="shared" si="11"/>
        <v>0</v>
      </c>
      <c r="Z55" s="35">
        <f t="shared" si="13"/>
        <v>0</v>
      </c>
      <c r="AA55" s="34"/>
      <c r="AB55" s="11"/>
      <c r="AC55" s="18">
        <f t="shared" si="24"/>
        <v>0</v>
      </c>
      <c r="AD55" s="35">
        <f t="shared" si="25"/>
        <v>0</v>
      </c>
      <c r="AE55" s="34"/>
      <c r="AF55" s="11"/>
      <c r="AG55" s="18">
        <f t="shared" si="14"/>
        <v>0</v>
      </c>
      <c r="AH55" s="35">
        <f t="shared" si="15"/>
        <v>0</v>
      </c>
      <c r="AI55" s="10"/>
      <c r="AJ55" s="11"/>
      <c r="AK55" s="11"/>
      <c r="AL55" s="3"/>
    </row>
    <row r="56" spans="1:38" ht="15.75">
      <c r="A56" s="12" t="s">
        <v>99</v>
      </c>
      <c r="B56" s="6"/>
      <c r="C56" s="12" t="s">
        <v>100</v>
      </c>
      <c r="D56" s="6"/>
      <c r="E56" s="6" t="s">
        <v>99</v>
      </c>
      <c r="F56" s="6">
        <v>18057.5</v>
      </c>
      <c r="G56" s="34" t="e">
        <f t="shared" si="27"/>
        <v>#DIV/0!</v>
      </c>
      <c r="H56" s="11"/>
      <c r="I56" s="18">
        <f t="shared" si="6"/>
        <v>0</v>
      </c>
      <c r="J56" s="35">
        <f t="shared" si="0"/>
        <v>0</v>
      </c>
      <c r="K56" s="34" t="e">
        <f t="shared" si="28"/>
        <v>#DIV/0!</v>
      </c>
      <c r="L56" s="11"/>
      <c r="M56" s="18">
        <f t="shared" si="7"/>
        <v>0</v>
      </c>
      <c r="N56" s="35">
        <f t="shared" si="1"/>
        <v>0</v>
      </c>
      <c r="O56" s="34" t="e">
        <f t="shared" si="29"/>
        <v>#DIV/0!</v>
      </c>
      <c r="P56" s="11"/>
      <c r="Q56" s="18">
        <f t="shared" si="8"/>
        <v>0</v>
      </c>
      <c r="R56" s="35">
        <f t="shared" si="2"/>
        <v>0</v>
      </c>
      <c r="S56" s="34" t="e">
        <f t="shared" si="30"/>
        <v>#DIV/0!</v>
      </c>
      <c r="T56" s="11"/>
      <c r="U56" s="18">
        <f t="shared" si="9"/>
        <v>0</v>
      </c>
      <c r="V56" s="35">
        <f t="shared" si="22"/>
        <v>0</v>
      </c>
      <c r="W56" s="34" t="e">
        <f t="shared" si="10"/>
        <v>#DIV/0!</v>
      </c>
      <c r="X56" s="11"/>
      <c r="Y56" s="18">
        <f t="shared" si="11"/>
        <v>0</v>
      </c>
      <c r="Z56" s="35">
        <f t="shared" si="13"/>
        <v>0</v>
      </c>
      <c r="AA56" s="34">
        <f>AB56/AF56-1</f>
        <v>-1</v>
      </c>
      <c r="AB56" s="11"/>
      <c r="AC56" s="18">
        <f t="shared" si="24"/>
        <v>-18057.5</v>
      </c>
      <c r="AD56" s="35">
        <f t="shared" si="25"/>
        <v>0</v>
      </c>
      <c r="AE56" s="34">
        <f>AF56/AJ56-1</f>
        <v>0.4932192177292649</v>
      </c>
      <c r="AF56" s="11">
        <v>18057.5</v>
      </c>
      <c r="AG56" s="18">
        <f t="shared" si="14"/>
        <v>5964.5</v>
      </c>
      <c r="AH56" s="35">
        <f t="shared" si="15"/>
        <v>1504.7916666666667</v>
      </c>
      <c r="AI56" s="10">
        <f t="shared" si="12"/>
        <v>-0.10719822812846069</v>
      </c>
      <c r="AJ56" s="11">
        <v>12093</v>
      </c>
      <c r="AK56" s="11">
        <v>13545</v>
      </c>
      <c r="AL56" s="3"/>
    </row>
    <row r="57" spans="1:38" ht="15.75">
      <c r="A57" s="12" t="s">
        <v>101</v>
      </c>
      <c r="B57" s="6"/>
      <c r="C57" s="12" t="s">
        <v>102</v>
      </c>
      <c r="D57" s="6"/>
      <c r="E57" s="6"/>
      <c r="F57" s="6"/>
      <c r="G57" s="34" t="e">
        <f t="shared" si="27"/>
        <v>#DIV/0!</v>
      </c>
      <c r="H57" s="11"/>
      <c r="I57" s="18">
        <f t="shared" si="6"/>
        <v>0</v>
      </c>
      <c r="J57" s="35">
        <f t="shared" si="0"/>
        <v>0</v>
      </c>
      <c r="K57" s="34" t="e">
        <f t="shared" si="28"/>
        <v>#DIV/0!</v>
      </c>
      <c r="L57" s="11"/>
      <c r="M57" s="18">
        <f t="shared" si="7"/>
        <v>0</v>
      </c>
      <c r="N57" s="35">
        <f t="shared" si="1"/>
        <v>0</v>
      </c>
      <c r="O57" s="34" t="e">
        <f t="shared" si="29"/>
        <v>#DIV/0!</v>
      </c>
      <c r="P57" s="11"/>
      <c r="Q57" s="18">
        <f t="shared" si="8"/>
        <v>0</v>
      </c>
      <c r="R57" s="35">
        <f t="shared" si="2"/>
        <v>0</v>
      </c>
      <c r="S57" s="34" t="e">
        <f t="shared" si="30"/>
        <v>#DIV/0!</v>
      </c>
      <c r="T57" s="11"/>
      <c r="U57" s="18">
        <f t="shared" si="9"/>
        <v>0</v>
      </c>
      <c r="V57" s="35">
        <f t="shared" si="22"/>
        <v>0</v>
      </c>
      <c r="W57" s="34" t="e">
        <f t="shared" si="10"/>
        <v>#DIV/0!</v>
      </c>
      <c r="X57" s="11"/>
      <c r="Y57" s="18">
        <f t="shared" si="11"/>
        <v>0</v>
      </c>
      <c r="Z57" s="35">
        <f t="shared" si="13"/>
        <v>0</v>
      </c>
      <c r="AA57" s="34"/>
      <c r="AB57" s="11"/>
      <c r="AC57" s="18">
        <f t="shared" si="24"/>
        <v>0</v>
      </c>
      <c r="AD57" s="35">
        <f t="shared" si="25"/>
        <v>0</v>
      </c>
      <c r="AE57" s="34"/>
      <c r="AF57" s="11"/>
      <c r="AG57" s="18">
        <f t="shared" si="14"/>
        <v>0</v>
      </c>
      <c r="AH57" s="35">
        <f t="shared" si="15"/>
        <v>0</v>
      </c>
      <c r="AI57" s="10"/>
      <c r="AJ57" s="11"/>
      <c r="AK57" s="11"/>
      <c r="AL57" s="3"/>
    </row>
    <row r="58" spans="1:38" ht="15.75">
      <c r="A58" s="12" t="s">
        <v>103</v>
      </c>
      <c r="B58" s="6"/>
      <c r="C58" s="12" t="s">
        <v>104</v>
      </c>
      <c r="D58" s="6"/>
      <c r="E58" s="6" t="s">
        <v>103</v>
      </c>
      <c r="F58" s="6">
        <v>704.63</v>
      </c>
      <c r="G58" s="36">
        <f t="shared" si="27"/>
        <v>1.0861543766883153</v>
      </c>
      <c r="H58" s="11">
        <v>1451.88</v>
      </c>
      <c r="I58" s="18">
        <f t="shared" si="6"/>
        <v>755.9200000000001</v>
      </c>
      <c r="J58" s="35">
        <f t="shared" si="0"/>
        <v>120.99000000000001</v>
      </c>
      <c r="K58" s="36">
        <f t="shared" si="28"/>
        <v>-0.5877258456252592</v>
      </c>
      <c r="L58" s="11">
        <v>695.96</v>
      </c>
      <c r="M58" s="18">
        <f t="shared" si="7"/>
        <v>-992.1399999999999</v>
      </c>
      <c r="N58" s="35">
        <f t="shared" si="1"/>
        <v>57.99666666666667</v>
      </c>
      <c r="O58" s="36">
        <f t="shared" si="29"/>
        <v>-0.7696709546082182</v>
      </c>
      <c r="P58" s="11">
        <v>1688.1</v>
      </c>
      <c r="Q58" s="18">
        <f t="shared" si="8"/>
        <v>-5640.98</v>
      </c>
      <c r="R58" s="35">
        <f t="shared" si="2"/>
        <v>140.67499999999998</v>
      </c>
      <c r="S58" s="36">
        <f t="shared" si="30"/>
        <v>-0.004789288939281877</v>
      </c>
      <c r="T58" s="11">
        <v>7329.08</v>
      </c>
      <c r="U58" s="18">
        <f t="shared" si="9"/>
        <v>-35.27000000000044</v>
      </c>
      <c r="V58" s="35">
        <f t="shared" si="22"/>
        <v>610.7566666666667</v>
      </c>
      <c r="W58" s="36">
        <f t="shared" si="10"/>
        <v>55.01118040766657</v>
      </c>
      <c r="X58" s="11">
        <v>7364.35</v>
      </c>
      <c r="Y58" s="18">
        <f t="shared" si="11"/>
        <v>7232.870000000001</v>
      </c>
      <c r="Z58" s="35">
        <f t="shared" si="13"/>
        <v>613.6958333333333</v>
      </c>
      <c r="AA58" s="36"/>
      <c r="AB58" s="11">
        <v>131.48</v>
      </c>
      <c r="AC58" s="18">
        <f t="shared" si="24"/>
        <v>-573.15</v>
      </c>
      <c r="AD58" s="35">
        <f t="shared" si="25"/>
        <v>10.956666666666665</v>
      </c>
      <c r="AE58" s="36"/>
      <c r="AF58" s="11">
        <v>704.63</v>
      </c>
      <c r="AG58" s="18">
        <f t="shared" si="14"/>
        <v>704.63</v>
      </c>
      <c r="AH58" s="35">
        <f t="shared" si="15"/>
        <v>58.719166666666666</v>
      </c>
      <c r="AI58" s="10">
        <f t="shared" si="12"/>
        <v>-1</v>
      </c>
      <c r="AJ58" s="11"/>
      <c r="AK58" s="11">
        <v>3511.55</v>
      </c>
      <c r="AL58" s="3"/>
    </row>
    <row r="59" spans="1:38" ht="15.75">
      <c r="A59" s="12" t="s">
        <v>105</v>
      </c>
      <c r="B59" s="6"/>
      <c r="C59" s="12" t="s">
        <v>106</v>
      </c>
      <c r="D59" s="6"/>
      <c r="E59" s="6" t="s">
        <v>105</v>
      </c>
      <c r="F59" s="6">
        <v>1300</v>
      </c>
      <c r="G59" s="34">
        <f t="shared" si="27"/>
        <v>-0.6060653497179258</v>
      </c>
      <c r="H59" s="11">
        <v>654.29</v>
      </c>
      <c r="I59" s="18">
        <f t="shared" si="6"/>
        <v>-1006.6200000000001</v>
      </c>
      <c r="J59" s="35">
        <f t="shared" si="0"/>
        <v>54.524166666666666</v>
      </c>
      <c r="K59" s="34">
        <f t="shared" si="28"/>
        <v>-0.2441648274135929</v>
      </c>
      <c r="L59" s="11">
        <v>1660.91</v>
      </c>
      <c r="M59" s="18">
        <f t="shared" si="7"/>
        <v>-536.5399999999997</v>
      </c>
      <c r="N59" s="35">
        <f t="shared" si="1"/>
        <v>138.40916666666666</v>
      </c>
      <c r="O59" s="34">
        <f t="shared" si="29"/>
        <v>0.49798219422743917</v>
      </c>
      <c r="P59" s="11">
        <v>2197.45</v>
      </c>
      <c r="Q59" s="18">
        <f t="shared" si="8"/>
        <v>730.5099999999998</v>
      </c>
      <c r="R59" s="35">
        <f t="shared" si="2"/>
        <v>183.1208333333333</v>
      </c>
      <c r="S59" s="34" t="e">
        <f t="shared" si="30"/>
        <v>#DIV/0!</v>
      </c>
      <c r="T59" s="11">
        <v>1466.94</v>
      </c>
      <c r="U59" s="18">
        <f t="shared" si="9"/>
        <v>1466.94</v>
      </c>
      <c r="V59" s="35">
        <f t="shared" si="22"/>
        <v>122.245</v>
      </c>
      <c r="W59" s="34">
        <f t="shared" si="10"/>
        <v>-1</v>
      </c>
      <c r="X59" s="11"/>
      <c r="Y59" s="18">
        <f t="shared" si="11"/>
        <v>-2537</v>
      </c>
      <c r="Z59" s="35">
        <f t="shared" si="13"/>
        <v>0</v>
      </c>
      <c r="AA59" s="34">
        <f>AB59/AF59-1</f>
        <v>0.9515384615384614</v>
      </c>
      <c r="AB59" s="11">
        <v>2537</v>
      </c>
      <c r="AC59" s="18">
        <f t="shared" si="24"/>
        <v>1237</v>
      </c>
      <c r="AD59" s="35">
        <f t="shared" si="25"/>
        <v>211.41666666666666</v>
      </c>
      <c r="AE59" s="34">
        <f aca="true" t="shared" si="31" ref="AE59:AE70">AF59/AJ59-1</f>
        <v>-0.5376084397130326</v>
      </c>
      <c r="AF59" s="11">
        <v>1300</v>
      </c>
      <c r="AG59" s="18">
        <f t="shared" si="14"/>
        <v>-1511.4699999999998</v>
      </c>
      <c r="AH59" s="35">
        <f t="shared" si="15"/>
        <v>108.33333333333333</v>
      </c>
      <c r="AI59" s="10">
        <f t="shared" si="12"/>
        <v>9.491734149345074</v>
      </c>
      <c r="AJ59" s="11">
        <v>2811.47</v>
      </c>
      <c r="AK59" s="11">
        <v>267.97</v>
      </c>
      <c r="AL59" s="3"/>
    </row>
    <row r="60" spans="1:38" s="20" customFormat="1" ht="15.75">
      <c r="A60" s="15"/>
      <c r="B60" s="16" t="s">
        <v>107</v>
      </c>
      <c r="C60" s="15"/>
      <c r="D60" s="16" t="s">
        <v>108</v>
      </c>
      <c r="E60" s="6"/>
      <c r="F60" s="6"/>
      <c r="G60" s="32">
        <f t="shared" si="27"/>
        <v>-0.6737816645356808</v>
      </c>
      <c r="H60" s="18">
        <f>SUM(H61:H65)</f>
        <v>8325.18</v>
      </c>
      <c r="I60" s="18">
        <f t="shared" si="6"/>
        <v>-17195.089999999997</v>
      </c>
      <c r="J60" s="33">
        <f t="shared" si="0"/>
        <v>693.765</v>
      </c>
      <c r="K60" s="32">
        <f t="shared" si="28"/>
        <v>1.1328014200696828</v>
      </c>
      <c r="L60" s="18">
        <f>SUM(L61:L65)</f>
        <v>25520.269999999997</v>
      </c>
      <c r="M60" s="18">
        <f t="shared" si="7"/>
        <v>13554.659999999996</v>
      </c>
      <c r="N60" s="33">
        <f t="shared" si="1"/>
        <v>2126.6891666666666</v>
      </c>
      <c r="O60" s="32">
        <f t="shared" si="29"/>
        <v>0.12582644997454895</v>
      </c>
      <c r="P60" s="18">
        <f>SUM(P61:P65)</f>
        <v>11965.61</v>
      </c>
      <c r="Q60" s="18">
        <f t="shared" si="8"/>
        <v>1337.3199999999997</v>
      </c>
      <c r="R60" s="33">
        <f t="shared" si="2"/>
        <v>997.1341666666667</v>
      </c>
      <c r="S60" s="32">
        <f t="shared" si="30"/>
        <v>0.046468511294422976</v>
      </c>
      <c r="T60" s="18">
        <f>SUM(T61:T65)</f>
        <v>10628.29</v>
      </c>
      <c r="U60" s="18">
        <f t="shared" si="9"/>
        <v>471.9500000000007</v>
      </c>
      <c r="V60" s="33">
        <f t="shared" si="22"/>
        <v>885.6908333333334</v>
      </c>
      <c r="W60" s="32">
        <f t="shared" si="10"/>
        <v>-0.5303923885054485</v>
      </c>
      <c r="X60" s="18">
        <f>SUM(X61:X65)</f>
        <v>10156.34</v>
      </c>
      <c r="Y60" s="18">
        <f t="shared" si="11"/>
        <v>-11470.95</v>
      </c>
      <c r="Z60" s="33">
        <f t="shared" si="13"/>
        <v>846.3616666666667</v>
      </c>
      <c r="AA60" s="32">
        <f>AB60/AF60-1</f>
        <v>0.47030302371067245</v>
      </c>
      <c r="AB60" s="18">
        <f>SUM(AB61:AB65)</f>
        <v>21627.29</v>
      </c>
      <c r="AC60" s="18">
        <f t="shared" si="24"/>
        <v>6917.880000000001</v>
      </c>
      <c r="AD60" s="33">
        <f t="shared" si="25"/>
        <v>1802.2741666666668</v>
      </c>
      <c r="AE60" s="32">
        <f t="shared" si="31"/>
        <v>0.15441985524830826</v>
      </c>
      <c r="AF60" s="18">
        <f>SUM(AF61:AF65)</f>
        <v>14709.41</v>
      </c>
      <c r="AG60" s="18">
        <f t="shared" si="14"/>
        <v>1967.5900000000001</v>
      </c>
      <c r="AH60" s="33">
        <f t="shared" si="15"/>
        <v>1225.7841666666666</v>
      </c>
      <c r="AI60" s="17">
        <f t="shared" si="12"/>
        <v>7.343419527622988</v>
      </c>
      <c r="AJ60" s="18">
        <f>SUM(AJ61:AJ65)</f>
        <v>12741.82</v>
      </c>
      <c r="AK60" s="18">
        <f>SUM(AK61:AK65)</f>
        <v>1527.17</v>
      </c>
      <c r="AL60" s="19">
        <f>SUM(AL61:AL65)</f>
        <v>0</v>
      </c>
    </row>
    <row r="61" spans="1:38" ht="15.75">
      <c r="A61" s="12" t="s">
        <v>109</v>
      </c>
      <c r="B61" s="6"/>
      <c r="C61" s="12" t="s">
        <v>110</v>
      </c>
      <c r="D61" s="6"/>
      <c r="E61" s="6" t="s">
        <v>109</v>
      </c>
      <c r="F61" s="6">
        <v>2317</v>
      </c>
      <c r="G61" s="34">
        <f t="shared" si="27"/>
        <v>-0.14517855716225936</v>
      </c>
      <c r="H61" s="11">
        <v>1069.98</v>
      </c>
      <c r="I61" s="18">
        <f t="shared" si="6"/>
        <v>-181.72000000000003</v>
      </c>
      <c r="J61" s="35">
        <f t="shared" si="0"/>
        <v>89.165</v>
      </c>
      <c r="K61" s="34">
        <f t="shared" si="28"/>
        <v>0.01665042235217684</v>
      </c>
      <c r="L61" s="11">
        <v>1251.7</v>
      </c>
      <c r="M61" s="18">
        <f t="shared" si="7"/>
        <v>20.5</v>
      </c>
      <c r="N61" s="35">
        <f t="shared" si="1"/>
        <v>104.30833333333334</v>
      </c>
      <c r="O61" s="34">
        <f t="shared" si="29"/>
        <v>-0.14303612445186886</v>
      </c>
      <c r="P61" s="11">
        <v>1231.2</v>
      </c>
      <c r="Q61" s="18">
        <f t="shared" si="8"/>
        <v>-205.5</v>
      </c>
      <c r="R61" s="35">
        <f t="shared" si="2"/>
        <v>102.60000000000001</v>
      </c>
      <c r="S61" s="34">
        <f t="shared" si="30"/>
        <v>80.49177538287012</v>
      </c>
      <c r="T61" s="11">
        <v>1436.7</v>
      </c>
      <c r="U61" s="18">
        <f t="shared" si="9"/>
        <v>1419.07</v>
      </c>
      <c r="V61" s="35">
        <f t="shared" si="22"/>
        <v>119.72500000000001</v>
      </c>
      <c r="W61" s="34">
        <f t="shared" si="10"/>
        <v>-0.9881876046901172</v>
      </c>
      <c r="X61" s="11">
        <v>17.63</v>
      </c>
      <c r="Y61" s="18">
        <f t="shared" si="11"/>
        <v>-1474.87</v>
      </c>
      <c r="Z61" s="35">
        <f t="shared" si="13"/>
        <v>1.4691666666666665</v>
      </c>
      <c r="AA61" s="34">
        <f>AB61/AF61-1</f>
        <v>-0.3558480794130341</v>
      </c>
      <c r="AB61" s="11">
        <v>1492.5</v>
      </c>
      <c r="AC61" s="18">
        <f t="shared" si="24"/>
        <v>-824.5</v>
      </c>
      <c r="AD61" s="35">
        <f t="shared" si="25"/>
        <v>124.375</v>
      </c>
      <c r="AE61" s="34">
        <f t="shared" si="31"/>
        <v>0.00466124661246603</v>
      </c>
      <c r="AF61" s="11">
        <v>2317</v>
      </c>
      <c r="AG61" s="18">
        <f t="shared" si="14"/>
        <v>10.75</v>
      </c>
      <c r="AH61" s="35">
        <f t="shared" si="15"/>
        <v>193.08333333333334</v>
      </c>
      <c r="AI61" s="13"/>
      <c r="AJ61" s="11">
        <v>2306.25</v>
      </c>
      <c r="AK61" s="11"/>
      <c r="AL61" s="3"/>
    </row>
    <row r="62" spans="1:38" ht="15.75">
      <c r="A62" s="12" t="s">
        <v>111</v>
      </c>
      <c r="B62" s="6"/>
      <c r="C62" s="12" t="s">
        <v>112</v>
      </c>
      <c r="D62" s="6"/>
      <c r="E62" s="6" t="s">
        <v>111</v>
      </c>
      <c r="F62" s="6">
        <v>250</v>
      </c>
      <c r="G62" s="34"/>
      <c r="H62" s="11"/>
      <c r="I62" s="18">
        <f t="shared" si="6"/>
        <v>-100</v>
      </c>
      <c r="J62" s="35">
        <f t="shared" si="0"/>
        <v>0</v>
      </c>
      <c r="K62" s="34"/>
      <c r="L62" s="11">
        <v>100</v>
      </c>
      <c r="M62" s="18">
        <f t="shared" si="7"/>
        <v>100</v>
      </c>
      <c r="N62" s="35">
        <f t="shared" si="1"/>
        <v>8.333333333333334</v>
      </c>
      <c r="O62" s="34"/>
      <c r="P62" s="11"/>
      <c r="Q62" s="18">
        <f t="shared" si="8"/>
        <v>0</v>
      </c>
      <c r="R62" s="35">
        <f t="shared" si="2"/>
        <v>0</v>
      </c>
      <c r="S62" s="34"/>
      <c r="T62" s="11"/>
      <c r="U62" s="18">
        <f t="shared" si="9"/>
        <v>0</v>
      </c>
      <c r="V62" s="35">
        <f t="shared" si="22"/>
        <v>0</v>
      </c>
      <c r="W62" s="34"/>
      <c r="X62" s="11"/>
      <c r="Y62" s="18">
        <f t="shared" si="11"/>
        <v>0</v>
      </c>
      <c r="Z62" s="35">
        <f t="shared" si="13"/>
        <v>0</v>
      </c>
      <c r="AA62" s="34">
        <f>AB62/AF62-1</f>
        <v>-1</v>
      </c>
      <c r="AB62" s="11"/>
      <c r="AC62" s="18">
        <f t="shared" si="24"/>
        <v>-250</v>
      </c>
      <c r="AD62" s="35">
        <f t="shared" si="25"/>
        <v>0</v>
      </c>
      <c r="AE62" s="34">
        <f t="shared" si="31"/>
        <v>-0.8333333333333334</v>
      </c>
      <c r="AF62" s="11">
        <v>250</v>
      </c>
      <c r="AG62" s="18">
        <f t="shared" si="14"/>
        <v>-1250</v>
      </c>
      <c r="AH62" s="35">
        <f t="shared" si="15"/>
        <v>20.833333333333332</v>
      </c>
      <c r="AI62" s="13"/>
      <c r="AJ62" s="11">
        <v>1500</v>
      </c>
      <c r="AK62" s="11"/>
      <c r="AL62" s="3"/>
    </row>
    <row r="63" spans="1:38" ht="15.75">
      <c r="A63" s="12" t="s">
        <v>113</v>
      </c>
      <c r="B63" s="6"/>
      <c r="C63" s="12" t="s">
        <v>114</v>
      </c>
      <c r="D63" s="6"/>
      <c r="E63" s="6" t="s">
        <v>113</v>
      </c>
      <c r="F63" s="6">
        <v>2226.98</v>
      </c>
      <c r="G63" s="34">
        <f aca="true" t="shared" si="32" ref="G63:G70">H63/L63-1</f>
        <v>-0.13679590539233766</v>
      </c>
      <c r="H63" s="11">
        <v>3231.37</v>
      </c>
      <c r="I63" s="18">
        <f t="shared" si="6"/>
        <v>-512.0900000000001</v>
      </c>
      <c r="J63" s="35">
        <f t="shared" si="0"/>
        <v>269.2808333333333</v>
      </c>
      <c r="K63" s="34">
        <f aca="true" t="shared" si="33" ref="K63:K70">L63/P63-1</f>
        <v>-0.517136142362195</v>
      </c>
      <c r="L63" s="11">
        <v>3743.46</v>
      </c>
      <c r="M63" s="18">
        <f t="shared" si="7"/>
        <v>-4009.16</v>
      </c>
      <c r="N63" s="35">
        <f t="shared" si="1"/>
        <v>311.955</v>
      </c>
      <c r="O63" s="34">
        <f>P63/T63-1</f>
        <v>0.3704133183905647</v>
      </c>
      <c r="P63" s="11">
        <v>7752.62</v>
      </c>
      <c r="Q63" s="18">
        <f t="shared" si="8"/>
        <v>2095.4799999999996</v>
      </c>
      <c r="R63" s="35">
        <f t="shared" si="2"/>
        <v>646.0516666666666</v>
      </c>
      <c r="S63" s="34">
        <f>T63/X63-1</f>
        <v>-0.14575811524807425</v>
      </c>
      <c r="T63" s="11">
        <v>5657.14</v>
      </c>
      <c r="U63" s="18">
        <f t="shared" si="9"/>
        <v>-965.2699999999995</v>
      </c>
      <c r="V63" s="35">
        <f t="shared" si="22"/>
        <v>471.42833333333334</v>
      </c>
      <c r="W63" s="34">
        <f t="shared" si="10"/>
        <v>0.787835265850465</v>
      </c>
      <c r="X63" s="11">
        <v>6622.41</v>
      </c>
      <c r="Y63" s="18">
        <f t="shared" si="11"/>
        <v>2918.2599999999998</v>
      </c>
      <c r="Z63" s="35">
        <f t="shared" si="13"/>
        <v>551.8675</v>
      </c>
      <c r="AA63" s="34">
        <f>AB63/AF63-1</f>
        <v>0.6633063610809258</v>
      </c>
      <c r="AB63" s="11">
        <v>3704.15</v>
      </c>
      <c r="AC63" s="18">
        <f t="shared" si="24"/>
        <v>1477.17</v>
      </c>
      <c r="AD63" s="35">
        <f t="shared" si="25"/>
        <v>308.6791666666667</v>
      </c>
      <c r="AE63" s="34">
        <f t="shared" si="31"/>
        <v>-0.495492923924543</v>
      </c>
      <c r="AF63" s="11">
        <v>2226.98</v>
      </c>
      <c r="AG63" s="18">
        <f t="shared" si="14"/>
        <v>-2187.19</v>
      </c>
      <c r="AH63" s="35">
        <f t="shared" si="15"/>
        <v>185.58166666666668</v>
      </c>
      <c r="AI63" s="13"/>
      <c r="AJ63" s="11">
        <v>4414.17</v>
      </c>
      <c r="AK63" s="11"/>
      <c r="AL63" s="3"/>
    </row>
    <row r="64" spans="1:38" ht="15.75">
      <c r="A64" s="12" t="s">
        <v>389</v>
      </c>
      <c r="B64" s="6"/>
      <c r="C64" s="12" t="s">
        <v>390</v>
      </c>
      <c r="D64" s="6"/>
      <c r="E64" s="6"/>
      <c r="F64" s="6"/>
      <c r="G64" s="34">
        <f t="shared" si="32"/>
        <v>0.8394204286911746</v>
      </c>
      <c r="H64" s="11">
        <v>3686.64</v>
      </c>
      <c r="I64" s="18">
        <f t="shared" si="6"/>
        <v>1682.3999999999999</v>
      </c>
      <c r="J64" s="35">
        <f t="shared" si="0"/>
        <v>307.21999999999997</v>
      </c>
      <c r="K64" s="34">
        <f t="shared" si="33"/>
        <v>-0.09236071171411886</v>
      </c>
      <c r="L64" s="11">
        <v>2004.24</v>
      </c>
      <c r="M64" s="18">
        <f t="shared" si="7"/>
        <v>-203.95000000000005</v>
      </c>
      <c r="N64" s="35">
        <f t="shared" si="1"/>
        <v>167.02</v>
      </c>
      <c r="O64" s="34">
        <f>P64/T64-1</f>
        <v>0.04434785898733451</v>
      </c>
      <c r="P64" s="11">
        <v>2208.19</v>
      </c>
      <c r="Q64" s="18">
        <f t="shared" si="8"/>
        <v>93.76999999999998</v>
      </c>
      <c r="R64" s="35"/>
      <c r="S64" s="34">
        <f>T64/X64-1</f>
        <v>-0.05356967011324465</v>
      </c>
      <c r="T64" s="11">
        <v>2114.42</v>
      </c>
      <c r="U64" s="18">
        <f t="shared" si="9"/>
        <v>-119.67999999999984</v>
      </c>
      <c r="V64" s="35"/>
      <c r="W64" s="34">
        <f t="shared" si="10"/>
        <v>-0.8640284249426681</v>
      </c>
      <c r="X64" s="11">
        <v>2234.1</v>
      </c>
      <c r="Y64" s="18">
        <f t="shared" si="11"/>
        <v>-14196.539999999999</v>
      </c>
      <c r="Z64" s="35"/>
      <c r="AA64" s="34"/>
      <c r="AB64" s="11">
        <v>16430.64</v>
      </c>
      <c r="AC64" s="18"/>
      <c r="AD64" s="35">
        <f t="shared" si="25"/>
        <v>1369.22</v>
      </c>
      <c r="AE64" s="34"/>
      <c r="AF64" s="11"/>
      <c r="AG64" s="18"/>
      <c r="AH64" s="35"/>
      <c r="AI64" s="13"/>
      <c r="AJ64" s="11"/>
      <c r="AK64" s="11"/>
      <c r="AL64" s="3"/>
    </row>
    <row r="65" spans="1:38" ht="15.75">
      <c r="A65" s="12" t="s">
        <v>115</v>
      </c>
      <c r="B65" s="6"/>
      <c r="C65" s="12" t="s">
        <v>26</v>
      </c>
      <c r="D65" s="6"/>
      <c r="E65" s="6" t="s">
        <v>115</v>
      </c>
      <c r="F65" s="6">
        <v>9915.43</v>
      </c>
      <c r="G65" s="34">
        <f t="shared" si="32"/>
        <v>-0.9816952185211665</v>
      </c>
      <c r="H65" s="80">
        <v>337.19</v>
      </c>
      <c r="I65" s="18">
        <f t="shared" si="6"/>
        <v>-18083.68</v>
      </c>
      <c r="J65" s="35">
        <f t="shared" si="0"/>
        <v>28.099166666666665</v>
      </c>
      <c r="K65" s="34">
        <f t="shared" si="33"/>
        <v>22.81187952430196</v>
      </c>
      <c r="L65" s="79">
        <f>17397+1023.87</f>
        <v>18420.87</v>
      </c>
      <c r="M65" s="18">
        <f t="shared" si="7"/>
        <v>17647.27</v>
      </c>
      <c r="N65" s="35">
        <f aca="true" t="shared" si="34" ref="N65:N114">+L65/12</f>
        <v>1535.0725</v>
      </c>
      <c r="O65" s="34"/>
      <c r="P65" s="11">
        <v>773.6</v>
      </c>
      <c r="Q65" s="18">
        <f t="shared" si="8"/>
        <v>-646.43</v>
      </c>
      <c r="R65" s="35">
        <f aca="true" t="shared" si="35" ref="R65:R114">+P65/12</f>
        <v>64.46666666666667</v>
      </c>
      <c r="S65" s="34"/>
      <c r="T65" s="11">
        <v>1420.03</v>
      </c>
      <c r="U65" s="18">
        <f t="shared" si="9"/>
        <v>137.82999999999993</v>
      </c>
      <c r="V65" s="35">
        <f aca="true" t="shared" si="36" ref="V65:V114">+T65/12</f>
        <v>118.33583333333333</v>
      </c>
      <c r="W65" s="34"/>
      <c r="X65" s="11">
        <v>1282.2</v>
      </c>
      <c r="Y65" s="18">
        <f t="shared" si="11"/>
        <v>1282.2</v>
      </c>
      <c r="Z65" s="35">
        <f t="shared" si="13"/>
        <v>106.85000000000001</v>
      </c>
      <c r="AA65" s="34">
        <f aca="true" t="shared" si="37" ref="AA65:AA70">AB65/AF65-1</f>
        <v>-1</v>
      </c>
      <c r="AB65" s="11"/>
      <c r="AC65" s="18">
        <f aca="true" t="shared" si="38" ref="AC65:AC135">+AB65-AF65</f>
        <v>-9915.43</v>
      </c>
      <c r="AD65" s="35">
        <f aca="true" t="shared" si="39" ref="AD65:AD135">+AB65/12</f>
        <v>0</v>
      </c>
      <c r="AE65" s="34">
        <f t="shared" si="31"/>
        <v>1.1929999557659134</v>
      </c>
      <c r="AF65" s="11">
        <v>9915.43</v>
      </c>
      <c r="AG65" s="18">
        <f t="shared" si="14"/>
        <v>5394.030000000001</v>
      </c>
      <c r="AH65" s="35">
        <f t="shared" si="15"/>
        <v>826.2858333333334</v>
      </c>
      <c r="AI65" s="10">
        <f t="shared" si="12"/>
        <v>1.9606396144502574</v>
      </c>
      <c r="AJ65" s="11">
        <v>4521.4</v>
      </c>
      <c r="AK65" s="11">
        <v>1527.17</v>
      </c>
      <c r="AL65" s="3"/>
    </row>
    <row r="66" spans="1:38" s="20" customFormat="1" ht="15.75">
      <c r="A66" s="15"/>
      <c r="B66" s="16" t="s">
        <v>116</v>
      </c>
      <c r="C66" s="15"/>
      <c r="D66" s="16" t="s">
        <v>117</v>
      </c>
      <c r="E66" s="6"/>
      <c r="F66" s="6"/>
      <c r="G66" s="32">
        <f t="shared" si="32"/>
        <v>0.09693029674071485</v>
      </c>
      <c r="H66" s="18">
        <f>SUM(H67:H76)</f>
        <v>34785.700000000004</v>
      </c>
      <c r="I66" s="18">
        <f t="shared" si="6"/>
        <v>3073.840000000004</v>
      </c>
      <c r="J66" s="33">
        <f t="shared" si="0"/>
        <v>2898.808333333334</v>
      </c>
      <c r="K66" s="32">
        <f t="shared" si="33"/>
        <v>0.006982414882269916</v>
      </c>
      <c r="L66" s="18">
        <f>SUM(L67:L76)</f>
        <v>31711.86</v>
      </c>
      <c r="M66" s="18">
        <f t="shared" si="7"/>
        <v>219.88999999999942</v>
      </c>
      <c r="N66" s="33">
        <f t="shared" si="34"/>
        <v>2642.655</v>
      </c>
      <c r="O66" s="32">
        <f>P66/T66-1</f>
        <v>-0.2653887236175231</v>
      </c>
      <c r="P66" s="18">
        <f>SUM(P67:P76)</f>
        <v>31491.97</v>
      </c>
      <c r="Q66" s="18">
        <f t="shared" si="8"/>
        <v>-11376.919999999998</v>
      </c>
      <c r="R66" s="33">
        <f t="shared" si="35"/>
        <v>2624.3308333333334</v>
      </c>
      <c r="S66" s="32">
        <f>T66/X66-1</f>
        <v>0.39775577277973784</v>
      </c>
      <c r="T66" s="18">
        <f>SUM(T67:T76)</f>
        <v>42868.89</v>
      </c>
      <c r="U66" s="18">
        <f t="shared" si="9"/>
        <v>12199.090000000004</v>
      </c>
      <c r="V66" s="33">
        <f t="shared" si="36"/>
        <v>3572.4075</v>
      </c>
      <c r="W66" s="32">
        <f t="shared" si="10"/>
        <v>-0.21323336261174375</v>
      </c>
      <c r="X66" s="18">
        <f>SUM(X67:X76)</f>
        <v>30669.799999999996</v>
      </c>
      <c r="Y66" s="18">
        <f t="shared" si="11"/>
        <v>-8312.280000000006</v>
      </c>
      <c r="Z66" s="33">
        <f t="shared" si="13"/>
        <v>2555.816666666666</v>
      </c>
      <c r="AA66" s="32">
        <f t="shared" si="37"/>
        <v>0.18316103850379717</v>
      </c>
      <c r="AB66" s="18">
        <f>SUM(AB67:AB76)</f>
        <v>38982.08</v>
      </c>
      <c r="AC66" s="18">
        <f t="shared" si="38"/>
        <v>6034.680000000008</v>
      </c>
      <c r="AD66" s="33">
        <f t="shared" si="39"/>
        <v>3248.5066666666667</v>
      </c>
      <c r="AE66" s="32">
        <f t="shared" si="31"/>
        <v>-0.1022653580595414</v>
      </c>
      <c r="AF66" s="18">
        <f>SUM(AF67:AF76)</f>
        <v>32947.399999999994</v>
      </c>
      <c r="AG66" s="18">
        <f t="shared" si="14"/>
        <v>-3753.2000000000044</v>
      </c>
      <c r="AH66" s="33">
        <f t="shared" si="15"/>
        <v>2745.6166666666663</v>
      </c>
      <c r="AI66" s="17">
        <f t="shared" si="12"/>
        <v>0.087184877061248</v>
      </c>
      <c r="AJ66" s="18">
        <f>SUM(AJ67:AJ76)</f>
        <v>36700.6</v>
      </c>
      <c r="AK66" s="18">
        <f>SUM(AK67:AK76)</f>
        <v>33757.46</v>
      </c>
      <c r="AL66" s="19">
        <f>SUM(AL67:AL76)</f>
        <v>0</v>
      </c>
    </row>
    <row r="67" spans="1:38" ht="15.75">
      <c r="A67" s="12" t="s">
        <v>118</v>
      </c>
      <c r="B67" s="6"/>
      <c r="C67" s="12" t="s">
        <v>119</v>
      </c>
      <c r="D67" s="6"/>
      <c r="E67" s="6" t="s">
        <v>118</v>
      </c>
      <c r="F67" s="6">
        <v>7829.8</v>
      </c>
      <c r="G67" s="34">
        <f t="shared" si="32"/>
        <v>-0.177978695229968</v>
      </c>
      <c r="H67" s="11">
        <v>5586.95</v>
      </c>
      <c r="I67" s="18">
        <f t="shared" si="6"/>
        <v>-1209.6500000000005</v>
      </c>
      <c r="J67" s="35">
        <f t="shared" si="0"/>
        <v>465.57916666666665</v>
      </c>
      <c r="K67" s="34">
        <f t="shared" si="33"/>
        <v>0.5307657657657658</v>
      </c>
      <c r="L67" s="11">
        <v>6796.6</v>
      </c>
      <c r="M67" s="18">
        <f t="shared" si="7"/>
        <v>2356.6000000000004</v>
      </c>
      <c r="N67" s="35">
        <f t="shared" si="34"/>
        <v>566.3833333333333</v>
      </c>
      <c r="O67" s="34">
        <f>P67/T67-1</f>
        <v>-0.05541963620891399</v>
      </c>
      <c r="P67" s="11">
        <v>4440</v>
      </c>
      <c r="Q67" s="18">
        <f t="shared" si="8"/>
        <v>-260.5</v>
      </c>
      <c r="R67" s="35">
        <f t="shared" si="35"/>
        <v>370</v>
      </c>
      <c r="S67" s="34">
        <f>T67/X67-1</f>
        <v>-0.14105956392395347</v>
      </c>
      <c r="T67" s="11">
        <v>4700.5</v>
      </c>
      <c r="U67" s="18">
        <f t="shared" si="9"/>
        <v>-771.9399999999996</v>
      </c>
      <c r="V67" s="35">
        <f t="shared" si="36"/>
        <v>391.7083333333333</v>
      </c>
      <c r="W67" s="34">
        <f t="shared" si="10"/>
        <v>-0.3519675062465216</v>
      </c>
      <c r="X67" s="11">
        <v>5472.44</v>
      </c>
      <c r="Y67" s="18">
        <f t="shared" si="11"/>
        <v>-2972.260000000001</v>
      </c>
      <c r="Z67" s="35">
        <f t="shared" si="13"/>
        <v>456.03666666666663</v>
      </c>
      <c r="AA67" s="34">
        <f t="shared" si="37"/>
        <v>0.07853329586962632</v>
      </c>
      <c r="AB67" s="11">
        <v>8444.7</v>
      </c>
      <c r="AC67" s="18">
        <f t="shared" si="38"/>
        <v>614.9000000000005</v>
      </c>
      <c r="AD67" s="35">
        <f t="shared" si="39"/>
        <v>703.725</v>
      </c>
      <c r="AE67" s="34">
        <f t="shared" si="31"/>
        <v>0.37892289810151114</v>
      </c>
      <c r="AF67" s="11">
        <v>7829.8</v>
      </c>
      <c r="AG67" s="18">
        <f t="shared" si="14"/>
        <v>2151.6000000000004</v>
      </c>
      <c r="AH67" s="35">
        <f t="shared" si="15"/>
        <v>652.4833333333333</v>
      </c>
      <c r="AI67" s="10">
        <f t="shared" si="12"/>
        <v>-0.23293481931779803</v>
      </c>
      <c r="AJ67" s="11">
        <v>5678.2</v>
      </c>
      <c r="AK67" s="11">
        <v>7402.5</v>
      </c>
      <c r="AL67" s="3"/>
    </row>
    <row r="68" spans="1:38" ht="15.75">
      <c r="A68" s="12" t="s">
        <v>120</v>
      </c>
      <c r="B68" s="6"/>
      <c r="C68" s="12" t="s">
        <v>121</v>
      </c>
      <c r="D68" s="6"/>
      <c r="E68" s="6" t="s">
        <v>120</v>
      </c>
      <c r="F68" s="6">
        <v>481.02</v>
      </c>
      <c r="G68" s="34">
        <f t="shared" si="32"/>
        <v>-0.1407975312213704</v>
      </c>
      <c r="H68" s="11">
        <v>890.95</v>
      </c>
      <c r="I68" s="18">
        <f t="shared" si="6"/>
        <v>-146</v>
      </c>
      <c r="J68" s="35">
        <f t="shared" si="0"/>
        <v>74.24583333333334</v>
      </c>
      <c r="K68" s="34">
        <f t="shared" si="33"/>
        <v>0.32966173415741284</v>
      </c>
      <c r="L68" s="11">
        <v>1036.95</v>
      </c>
      <c r="M68" s="18">
        <f t="shared" si="7"/>
        <v>257.09000000000003</v>
      </c>
      <c r="N68" s="35">
        <f t="shared" si="34"/>
        <v>86.41250000000001</v>
      </c>
      <c r="O68" s="34">
        <f>P68/T68-1</f>
        <v>-0.1958216465929714</v>
      </c>
      <c r="P68" s="11">
        <v>779.86</v>
      </c>
      <c r="Q68" s="18">
        <f t="shared" si="8"/>
        <v>-189.89999999999998</v>
      </c>
      <c r="R68" s="35">
        <f t="shared" si="35"/>
        <v>64.98833333333333</v>
      </c>
      <c r="S68" s="34">
        <f>T68/X68-1</f>
        <v>0.06251780431686194</v>
      </c>
      <c r="T68" s="11">
        <v>969.76</v>
      </c>
      <c r="U68" s="18">
        <f t="shared" si="9"/>
        <v>57.059999999999945</v>
      </c>
      <c r="V68" s="35">
        <f t="shared" si="36"/>
        <v>80.81333333333333</v>
      </c>
      <c r="W68" s="34">
        <f t="shared" si="10"/>
        <v>0.12649806840201916</v>
      </c>
      <c r="X68" s="11">
        <v>912.7</v>
      </c>
      <c r="Y68" s="18">
        <f t="shared" si="11"/>
        <v>102.49000000000001</v>
      </c>
      <c r="Z68" s="35">
        <f t="shared" si="13"/>
        <v>76.05833333333334</v>
      </c>
      <c r="AA68" s="34">
        <f t="shared" si="37"/>
        <v>0.6843582387426719</v>
      </c>
      <c r="AB68" s="11">
        <v>810.21</v>
      </c>
      <c r="AC68" s="18">
        <f t="shared" si="38"/>
        <v>329.19000000000005</v>
      </c>
      <c r="AD68" s="35">
        <f t="shared" si="39"/>
        <v>67.5175</v>
      </c>
      <c r="AE68" s="34">
        <f t="shared" si="31"/>
        <v>0.7396745027124774</v>
      </c>
      <c r="AF68" s="11">
        <v>481.02</v>
      </c>
      <c r="AG68" s="18">
        <f t="shared" si="14"/>
        <v>204.51999999999998</v>
      </c>
      <c r="AH68" s="35">
        <f t="shared" si="15"/>
        <v>40.085</v>
      </c>
      <c r="AI68" s="10">
        <f t="shared" si="12"/>
        <v>-0.894122152019912</v>
      </c>
      <c r="AJ68" s="11">
        <v>276.5</v>
      </c>
      <c r="AK68" s="11">
        <v>2611.5</v>
      </c>
      <c r="AL68" s="3"/>
    </row>
    <row r="69" spans="1:38" ht="15.75">
      <c r="A69" s="12" t="s">
        <v>122</v>
      </c>
      <c r="B69" s="6"/>
      <c r="C69" s="12" t="s">
        <v>123</v>
      </c>
      <c r="D69" s="6"/>
      <c r="E69" s="6" t="s">
        <v>122</v>
      </c>
      <c r="F69" s="6">
        <v>16050.5</v>
      </c>
      <c r="G69" s="34">
        <f t="shared" si="32"/>
        <v>0.12573289902280127</v>
      </c>
      <c r="H69" s="11">
        <v>10368</v>
      </c>
      <c r="I69" s="18">
        <f t="shared" si="6"/>
        <v>1158</v>
      </c>
      <c r="J69" s="35">
        <f aca="true" t="shared" si="40" ref="J69:J114">+H69/12</f>
        <v>864</v>
      </c>
      <c r="K69" s="34">
        <f t="shared" si="33"/>
        <v>0.15384615384615374</v>
      </c>
      <c r="L69" s="81">
        <v>9210</v>
      </c>
      <c r="M69" s="18">
        <f t="shared" si="7"/>
        <v>1228</v>
      </c>
      <c r="N69" s="35">
        <f t="shared" si="34"/>
        <v>767.5</v>
      </c>
      <c r="O69" s="34">
        <f>P69/T69-1</f>
        <v>0.051646903820816936</v>
      </c>
      <c r="P69" s="11">
        <v>7982</v>
      </c>
      <c r="Q69" s="18">
        <f t="shared" si="8"/>
        <v>392</v>
      </c>
      <c r="R69" s="35">
        <f t="shared" si="35"/>
        <v>665.1666666666666</v>
      </c>
      <c r="S69" s="34">
        <f>T69/X69-1</f>
        <v>0.1641104294478528</v>
      </c>
      <c r="T69" s="11">
        <v>7590</v>
      </c>
      <c r="U69" s="18">
        <f t="shared" si="9"/>
        <v>1070</v>
      </c>
      <c r="V69" s="35">
        <f t="shared" si="36"/>
        <v>632.5</v>
      </c>
      <c r="W69" s="34">
        <f t="shared" si="10"/>
        <v>-0.5487576994947747</v>
      </c>
      <c r="X69" s="11">
        <v>6520</v>
      </c>
      <c r="Y69" s="18">
        <f t="shared" si="11"/>
        <v>-7929</v>
      </c>
      <c r="Z69" s="35">
        <f t="shared" si="13"/>
        <v>543.3333333333334</v>
      </c>
      <c r="AA69" s="34">
        <f t="shared" si="37"/>
        <v>-0.09977882308962338</v>
      </c>
      <c r="AB69" s="11">
        <v>14449</v>
      </c>
      <c r="AC69" s="18">
        <f t="shared" si="38"/>
        <v>-1601.5</v>
      </c>
      <c r="AD69" s="35">
        <f t="shared" si="39"/>
        <v>1204.0833333333333</v>
      </c>
      <c r="AE69" s="34">
        <f t="shared" si="31"/>
        <v>0.010753324676600506</v>
      </c>
      <c r="AF69" s="11">
        <v>16050.5</v>
      </c>
      <c r="AG69" s="18">
        <f t="shared" si="14"/>
        <v>170.76000000000022</v>
      </c>
      <c r="AH69" s="35">
        <f t="shared" si="15"/>
        <v>1337.5416666666667</v>
      </c>
      <c r="AI69" s="10">
        <f t="shared" si="12"/>
        <v>-0.001814113121204941</v>
      </c>
      <c r="AJ69" s="11">
        <v>15879.74</v>
      </c>
      <c r="AK69" s="11">
        <v>15908.6</v>
      </c>
      <c r="AL69" s="3"/>
    </row>
    <row r="70" spans="1:38" ht="15.75">
      <c r="A70" s="12" t="s">
        <v>124</v>
      </c>
      <c r="B70" s="6"/>
      <c r="C70" s="12" t="s">
        <v>125</v>
      </c>
      <c r="D70" s="6"/>
      <c r="E70" s="6" t="s">
        <v>124</v>
      </c>
      <c r="F70" s="6">
        <v>2145</v>
      </c>
      <c r="G70" s="34">
        <f t="shared" si="32"/>
        <v>-1</v>
      </c>
      <c r="H70" s="11"/>
      <c r="I70" s="18">
        <f aca="true" t="shared" si="41" ref="I70:I114">+H70-L70</f>
        <v>-148.31</v>
      </c>
      <c r="J70" s="35">
        <f t="shared" si="40"/>
        <v>0</v>
      </c>
      <c r="K70" s="34" t="e">
        <f t="shared" si="33"/>
        <v>#DIV/0!</v>
      </c>
      <c r="L70" s="11">
        <v>148.31</v>
      </c>
      <c r="M70" s="18">
        <f aca="true" t="shared" si="42" ref="M70:M114">+L70-P70</f>
        <v>148.31</v>
      </c>
      <c r="N70" s="35">
        <f t="shared" si="34"/>
        <v>12.359166666666667</v>
      </c>
      <c r="O70" s="34">
        <f>P70/T70-1</f>
        <v>-1</v>
      </c>
      <c r="P70" s="11"/>
      <c r="Q70" s="18">
        <f aca="true" t="shared" si="43" ref="Q70:Q114">+P70-T70</f>
        <v>-81.25</v>
      </c>
      <c r="R70" s="35">
        <f t="shared" si="35"/>
        <v>0</v>
      </c>
      <c r="S70" s="34">
        <f>T70/X70-1</f>
        <v>-0.1875</v>
      </c>
      <c r="T70" s="11">
        <v>81.25</v>
      </c>
      <c r="U70" s="18">
        <f aca="true" t="shared" si="44" ref="U70:U114">+T70-X70</f>
        <v>-18.75</v>
      </c>
      <c r="V70" s="35">
        <f t="shared" si="36"/>
        <v>6.770833333333333</v>
      </c>
      <c r="W70" s="34">
        <f aca="true" t="shared" si="45" ref="W70:W138">X70/AB70-1</f>
        <v>-0.9256007737519529</v>
      </c>
      <c r="X70" s="11">
        <v>100</v>
      </c>
      <c r="Y70" s="18">
        <f aca="true" t="shared" si="46" ref="Y70:Y138">+X70-AB70</f>
        <v>-1244.1</v>
      </c>
      <c r="Z70" s="35">
        <f t="shared" si="13"/>
        <v>8.333333333333334</v>
      </c>
      <c r="AA70" s="34">
        <f t="shared" si="37"/>
        <v>-0.37337995337995344</v>
      </c>
      <c r="AB70" s="11">
        <v>1344.1</v>
      </c>
      <c r="AC70" s="18">
        <f t="shared" si="38"/>
        <v>-800.9000000000001</v>
      </c>
      <c r="AD70" s="35">
        <f t="shared" si="39"/>
        <v>112.00833333333333</v>
      </c>
      <c r="AE70" s="34">
        <f t="shared" si="31"/>
        <v>1.6645962732919255</v>
      </c>
      <c r="AF70" s="11">
        <v>2145</v>
      </c>
      <c r="AG70" s="18">
        <f t="shared" si="14"/>
        <v>1340</v>
      </c>
      <c r="AH70" s="35">
        <f t="shared" si="15"/>
        <v>178.75</v>
      </c>
      <c r="AI70" s="10">
        <f t="shared" si="12"/>
        <v>-0.7159592110370134</v>
      </c>
      <c r="AJ70" s="11">
        <v>805</v>
      </c>
      <c r="AK70" s="11">
        <v>2834.1</v>
      </c>
      <c r="AL70" s="3"/>
    </row>
    <row r="71" spans="1:38" ht="15.75">
      <c r="A71" s="12" t="s">
        <v>126</v>
      </c>
      <c r="B71" s="6"/>
      <c r="C71" s="12" t="s">
        <v>127</v>
      </c>
      <c r="D71" s="6"/>
      <c r="E71" s="6"/>
      <c r="F71" s="6"/>
      <c r="G71" s="34"/>
      <c r="H71" s="11"/>
      <c r="I71" s="18">
        <f t="shared" si="41"/>
        <v>0</v>
      </c>
      <c r="J71" s="35">
        <f t="shared" si="40"/>
        <v>0</v>
      </c>
      <c r="K71" s="34"/>
      <c r="L71" s="11"/>
      <c r="M71" s="18">
        <f t="shared" si="42"/>
        <v>0</v>
      </c>
      <c r="N71" s="35">
        <f t="shared" si="34"/>
        <v>0</v>
      </c>
      <c r="O71" s="34"/>
      <c r="P71" s="11"/>
      <c r="Q71" s="18">
        <f t="shared" si="43"/>
        <v>0</v>
      </c>
      <c r="R71" s="35">
        <f t="shared" si="35"/>
        <v>0</v>
      </c>
      <c r="S71" s="34"/>
      <c r="T71" s="11"/>
      <c r="U71" s="18">
        <f t="shared" si="44"/>
        <v>0</v>
      </c>
      <c r="V71" s="35">
        <f t="shared" si="36"/>
        <v>0</v>
      </c>
      <c r="W71" s="34"/>
      <c r="X71" s="11"/>
      <c r="Y71" s="18">
        <f t="shared" si="46"/>
        <v>0</v>
      </c>
      <c r="Z71" s="35">
        <f t="shared" si="13"/>
        <v>0</v>
      </c>
      <c r="AA71" s="34"/>
      <c r="AB71" s="11"/>
      <c r="AC71" s="18">
        <f t="shared" si="38"/>
        <v>0</v>
      </c>
      <c r="AD71" s="35">
        <f t="shared" si="39"/>
        <v>0</v>
      </c>
      <c r="AE71" s="34"/>
      <c r="AF71" s="11"/>
      <c r="AG71" s="18">
        <f t="shared" si="14"/>
        <v>0</v>
      </c>
      <c r="AH71" s="35">
        <f t="shared" si="15"/>
        <v>0</v>
      </c>
      <c r="AI71" s="10"/>
      <c r="AJ71" s="11"/>
      <c r="AK71" s="11"/>
      <c r="AL71" s="3"/>
    </row>
    <row r="72" spans="1:38" ht="15.75">
      <c r="A72" s="12" t="s">
        <v>128</v>
      </c>
      <c r="B72" s="6"/>
      <c r="C72" s="12" t="s">
        <v>562</v>
      </c>
      <c r="D72" s="6"/>
      <c r="E72" s="6" t="s">
        <v>128</v>
      </c>
      <c r="F72" s="6">
        <v>503.2</v>
      </c>
      <c r="G72" s="34" t="e">
        <f>H72/L72-1</f>
        <v>#DIV/0!</v>
      </c>
      <c r="H72" s="11">
        <v>3871.29</v>
      </c>
      <c r="I72" s="18">
        <f t="shared" si="41"/>
        <v>3871.29</v>
      </c>
      <c r="J72" s="35">
        <f t="shared" si="40"/>
        <v>322.6075</v>
      </c>
      <c r="K72" s="34" t="e">
        <f>L72/P72-1</f>
        <v>#DIV/0!</v>
      </c>
      <c r="L72" s="11"/>
      <c r="M72" s="18">
        <f t="shared" si="42"/>
        <v>0</v>
      </c>
      <c r="N72" s="35">
        <f t="shared" si="34"/>
        <v>0</v>
      </c>
      <c r="O72" s="34" t="e">
        <f>P72/T72-1</f>
        <v>#DIV/0!</v>
      </c>
      <c r="P72" s="11"/>
      <c r="Q72" s="18">
        <f t="shared" si="43"/>
        <v>0</v>
      </c>
      <c r="R72" s="35">
        <f t="shared" si="35"/>
        <v>0</v>
      </c>
      <c r="S72" s="34" t="e">
        <f>T72/X72-1</f>
        <v>#DIV/0!</v>
      </c>
      <c r="T72" s="11"/>
      <c r="U72" s="18">
        <f t="shared" si="44"/>
        <v>0</v>
      </c>
      <c r="V72" s="35">
        <f t="shared" si="36"/>
        <v>0</v>
      </c>
      <c r="W72" s="34">
        <f t="shared" si="45"/>
        <v>-1</v>
      </c>
      <c r="X72" s="11"/>
      <c r="Y72" s="18">
        <f t="shared" si="46"/>
        <v>-587.5</v>
      </c>
      <c r="Z72" s="35">
        <f t="shared" si="13"/>
        <v>0</v>
      </c>
      <c r="AA72" s="34">
        <f aca="true" t="shared" si="47" ref="AA72:AA77">AB72/AF72-1</f>
        <v>0.1675278219395866</v>
      </c>
      <c r="AB72" s="11">
        <v>587.5</v>
      </c>
      <c r="AC72" s="18">
        <f t="shared" si="38"/>
        <v>84.30000000000001</v>
      </c>
      <c r="AD72" s="35">
        <f t="shared" si="39"/>
        <v>48.958333333333336</v>
      </c>
      <c r="AE72" s="34">
        <f aca="true" t="shared" si="48" ref="AE72:AE77">AF72/AJ72-1</f>
        <v>-0.7010172069588364</v>
      </c>
      <c r="AF72" s="11">
        <v>503.2</v>
      </c>
      <c r="AG72" s="18">
        <f t="shared" si="14"/>
        <v>-1179.84</v>
      </c>
      <c r="AH72" s="35">
        <f t="shared" si="15"/>
        <v>41.93333333333333</v>
      </c>
      <c r="AI72" s="10">
        <f aca="true" t="shared" si="49" ref="AI72:AI138">+AJ72/AK72-1</f>
        <v>0.23314088098238628</v>
      </c>
      <c r="AJ72" s="11">
        <v>1683.04</v>
      </c>
      <c r="AK72" s="11">
        <v>1364.84</v>
      </c>
      <c r="AL72" s="3"/>
    </row>
    <row r="73" spans="1:38" ht="15.75">
      <c r="A73" s="12" t="s">
        <v>129</v>
      </c>
      <c r="B73" s="6"/>
      <c r="C73" s="12" t="s">
        <v>563</v>
      </c>
      <c r="D73" s="6"/>
      <c r="E73" s="6" t="s">
        <v>129</v>
      </c>
      <c r="F73" s="6">
        <v>5380.46</v>
      </c>
      <c r="G73" s="34">
        <f>H73/L73-1</f>
        <v>-0.5155869826362345</v>
      </c>
      <c r="H73" s="11">
        <v>4435.77</v>
      </c>
      <c r="I73" s="18">
        <f t="shared" si="41"/>
        <v>-4721.23</v>
      </c>
      <c r="J73" s="35">
        <f t="shared" si="40"/>
        <v>369.64750000000004</v>
      </c>
      <c r="K73" s="34">
        <f>L73/P73-1</f>
        <v>0.15498230380941092</v>
      </c>
      <c r="L73" s="11">
        <v>9157</v>
      </c>
      <c r="M73" s="18">
        <f t="shared" si="42"/>
        <v>1228.7399999999998</v>
      </c>
      <c r="N73" s="35">
        <f t="shared" si="34"/>
        <v>763.0833333333334</v>
      </c>
      <c r="O73" s="34">
        <f>P73/T73-1</f>
        <v>-0.40754650995958774</v>
      </c>
      <c r="P73" s="11">
        <v>7928.26</v>
      </c>
      <c r="Q73" s="18">
        <f t="shared" si="43"/>
        <v>-5453.82</v>
      </c>
      <c r="R73" s="35">
        <f t="shared" si="35"/>
        <v>660.6883333333334</v>
      </c>
      <c r="S73" s="34">
        <f>T73/X73-1</f>
        <v>0.21363008536714778</v>
      </c>
      <c r="T73" s="11">
        <v>13382.08</v>
      </c>
      <c r="U73" s="18">
        <f t="shared" si="44"/>
        <v>2355.59</v>
      </c>
      <c r="V73" s="35">
        <f t="shared" si="36"/>
        <v>1115.1733333333334</v>
      </c>
      <c r="W73" s="34">
        <f t="shared" si="45"/>
        <v>1.3536384147265559</v>
      </c>
      <c r="X73" s="11">
        <v>11026.49</v>
      </c>
      <c r="Y73" s="18">
        <f t="shared" si="46"/>
        <v>6341.62</v>
      </c>
      <c r="Z73" s="35">
        <f aca="true" t="shared" si="50" ref="Z73:Z141">+X73/12</f>
        <v>918.8741666666666</v>
      </c>
      <c r="AA73" s="34">
        <f t="shared" si="47"/>
        <v>-0.12928076781539133</v>
      </c>
      <c r="AB73" s="11">
        <v>4684.87</v>
      </c>
      <c r="AC73" s="18">
        <f t="shared" si="38"/>
        <v>-695.5900000000001</v>
      </c>
      <c r="AD73" s="35">
        <f t="shared" si="39"/>
        <v>390.4058333333333</v>
      </c>
      <c r="AE73" s="34">
        <f t="shared" si="48"/>
        <v>-0.18294164454622208</v>
      </c>
      <c r="AF73" s="11">
        <v>5380.46</v>
      </c>
      <c r="AG73" s="18">
        <f aca="true" t="shared" si="51" ref="AG73:AG141">+AF73-AJ73</f>
        <v>-1204.6999999999998</v>
      </c>
      <c r="AH73" s="35">
        <f aca="true" t="shared" si="52" ref="AH73:AH141">+AF73/12</f>
        <v>448.37166666666667</v>
      </c>
      <c r="AI73" s="10">
        <f t="shared" si="49"/>
        <v>0.9111683818877299</v>
      </c>
      <c r="AJ73" s="11">
        <v>6585.16</v>
      </c>
      <c r="AK73" s="11">
        <v>3445.62</v>
      </c>
      <c r="AL73" s="3"/>
    </row>
    <row r="74" spans="1:38" ht="15.75">
      <c r="A74" s="12" t="s">
        <v>130</v>
      </c>
      <c r="B74" s="6"/>
      <c r="C74" s="12" t="s">
        <v>131</v>
      </c>
      <c r="D74" s="6"/>
      <c r="E74" s="6" t="s">
        <v>130</v>
      </c>
      <c r="F74" s="6">
        <v>520.5</v>
      </c>
      <c r="G74" s="34" t="e">
        <f>H74/L74-1</f>
        <v>#DIV/0!</v>
      </c>
      <c r="H74" s="11"/>
      <c r="I74" s="18">
        <f t="shared" si="41"/>
        <v>0</v>
      </c>
      <c r="J74" s="35">
        <f t="shared" si="40"/>
        <v>0</v>
      </c>
      <c r="K74" s="34" t="e">
        <f>L74/P74-1</f>
        <v>#DIV/0!</v>
      </c>
      <c r="L74" s="11"/>
      <c r="M74" s="18">
        <f t="shared" si="42"/>
        <v>0</v>
      </c>
      <c r="N74" s="35">
        <f t="shared" si="34"/>
        <v>0</v>
      </c>
      <c r="O74" s="34" t="e">
        <f>P74/T74-1</f>
        <v>#DIV/0!</v>
      </c>
      <c r="P74" s="11"/>
      <c r="Q74" s="18">
        <f t="shared" si="43"/>
        <v>0</v>
      </c>
      <c r="R74" s="35">
        <f t="shared" si="35"/>
        <v>0</v>
      </c>
      <c r="S74" s="34" t="e">
        <f>T74/X74-1</f>
        <v>#DIV/0!</v>
      </c>
      <c r="T74" s="11"/>
      <c r="U74" s="18">
        <f t="shared" si="44"/>
        <v>0</v>
      </c>
      <c r="V74" s="35">
        <f t="shared" si="36"/>
        <v>0</v>
      </c>
      <c r="W74" s="34">
        <f t="shared" si="45"/>
        <v>-1</v>
      </c>
      <c r="X74" s="11"/>
      <c r="Y74" s="18">
        <f t="shared" si="46"/>
        <v>-926.7</v>
      </c>
      <c r="Z74" s="35">
        <f t="shared" si="50"/>
        <v>0</v>
      </c>
      <c r="AA74" s="34">
        <f t="shared" si="47"/>
        <v>0.7804034582132566</v>
      </c>
      <c r="AB74" s="11">
        <v>926.7</v>
      </c>
      <c r="AC74" s="18">
        <f t="shared" si="38"/>
        <v>406.20000000000005</v>
      </c>
      <c r="AD74" s="35">
        <f t="shared" si="39"/>
        <v>77.22500000000001</v>
      </c>
      <c r="AE74" s="34">
        <f t="shared" si="48"/>
        <v>-0.5080665740451955</v>
      </c>
      <c r="AF74" s="11">
        <v>520.5</v>
      </c>
      <c r="AG74" s="18">
        <f t="shared" si="51"/>
        <v>-537.5699999999999</v>
      </c>
      <c r="AH74" s="35">
        <f t="shared" si="52"/>
        <v>43.375</v>
      </c>
      <c r="AI74" s="10">
        <f t="shared" si="49"/>
        <v>5.915490196078431</v>
      </c>
      <c r="AJ74" s="11">
        <v>1058.07</v>
      </c>
      <c r="AK74" s="11">
        <v>153</v>
      </c>
      <c r="AL74" s="3"/>
    </row>
    <row r="75" spans="1:38" ht="15.75">
      <c r="A75" s="12" t="s">
        <v>132</v>
      </c>
      <c r="B75" s="6"/>
      <c r="C75" s="12" t="s">
        <v>133</v>
      </c>
      <c r="D75" s="6"/>
      <c r="E75" s="6" t="s">
        <v>132</v>
      </c>
      <c r="F75" s="6">
        <v>36.92</v>
      </c>
      <c r="G75" s="34"/>
      <c r="H75" s="11"/>
      <c r="I75" s="18">
        <f t="shared" si="41"/>
        <v>0</v>
      </c>
      <c r="J75" s="35">
        <f t="shared" si="40"/>
        <v>0</v>
      </c>
      <c r="K75" s="34"/>
      <c r="L75" s="11"/>
      <c r="M75" s="18">
        <f t="shared" si="42"/>
        <v>0</v>
      </c>
      <c r="N75" s="35">
        <f t="shared" si="34"/>
        <v>0</v>
      </c>
      <c r="O75" s="34"/>
      <c r="P75" s="11"/>
      <c r="Q75" s="18">
        <f t="shared" si="43"/>
        <v>0</v>
      </c>
      <c r="R75" s="35">
        <f t="shared" si="35"/>
        <v>0</v>
      </c>
      <c r="S75" s="34"/>
      <c r="T75" s="11"/>
      <c r="U75" s="18">
        <f t="shared" si="44"/>
        <v>0</v>
      </c>
      <c r="V75" s="35">
        <f t="shared" si="36"/>
        <v>0</v>
      </c>
      <c r="W75" s="34"/>
      <c r="X75" s="11"/>
      <c r="Y75" s="18">
        <f t="shared" si="46"/>
        <v>0</v>
      </c>
      <c r="Z75" s="35">
        <f t="shared" si="50"/>
        <v>0</v>
      </c>
      <c r="AA75" s="34">
        <f t="shared" si="47"/>
        <v>-1</v>
      </c>
      <c r="AB75" s="11"/>
      <c r="AC75" s="18">
        <f t="shared" si="38"/>
        <v>-36.92</v>
      </c>
      <c r="AD75" s="35">
        <f t="shared" si="39"/>
        <v>0</v>
      </c>
      <c r="AE75" s="34">
        <f t="shared" si="48"/>
        <v>-0.610917904942565</v>
      </c>
      <c r="AF75" s="11">
        <v>36.92</v>
      </c>
      <c r="AG75" s="18">
        <f t="shared" si="51"/>
        <v>-57.97</v>
      </c>
      <c r="AH75" s="35">
        <f t="shared" si="52"/>
        <v>3.0766666666666667</v>
      </c>
      <c r="AI75" s="10">
        <f t="shared" si="49"/>
        <v>1.5439678284182308</v>
      </c>
      <c r="AJ75" s="11">
        <v>94.89</v>
      </c>
      <c r="AK75" s="11">
        <v>37.3</v>
      </c>
      <c r="AL75" s="3"/>
    </row>
    <row r="76" spans="1:38" ht="15.75">
      <c r="A76" s="12" t="s">
        <v>134</v>
      </c>
      <c r="B76" s="6"/>
      <c r="C76" s="12" t="s">
        <v>135</v>
      </c>
      <c r="D76" s="6"/>
      <c r="E76" s="6"/>
      <c r="F76" s="6"/>
      <c r="G76" s="34">
        <f>H76/L76-1</f>
        <v>0.7961476785381316</v>
      </c>
      <c r="H76" s="11">
        <v>9632.74</v>
      </c>
      <c r="I76" s="18">
        <f t="shared" si="41"/>
        <v>4269.74</v>
      </c>
      <c r="J76" s="35">
        <f t="shared" si="40"/>
        <v>802.7283333333334</v>
      </c>
      <c r="K76" s="34">
        <f>L76/P76-1</f>
        <v>-0.48242833084825587</v>
      </c>
      <c r="L76" s="11">
        <v>5363</v>
      </c>
      <c r="M76" s="18">
        <f t="shared" si="42"/>
        <v>-4998.85</v>
      </c>
      <c r="N76" s="35">
        <f t="shared" si="34"/>
        <v>446.9166666666667</v>
      </c>
      <c r="O76" s="34">
        <f>P76/T76-1</f>
        <v>-0.3582126067648169</v>
      </c>
      <c r="P76" s="11">
        <v>10361.85</v>
      </c>
      <c r="Q76" s="18">
        <f t="shared" si="43"/>
        <v>-5783.449999999999</v>
      </c>
      <c r="R76" s="35">
        <f t="shared" si="35"/>
        <v>863.4875000000001</v>
      </c>
      <c r="S76" s="34">
        <f>T76/X76-1</f>
        <v>1.4321914021484834</v>
      </c>
      <c r="T76" s="11">
        <v>16145.3</v>
      </c>
      <c r="U76" s="18">
        <f t="shared" si="44"/>
        <v>9507.13</v>
      </c>
      <c r="V76" s="35">
        <f t="shared" si="36"/>
        <v>1345.4416666666666</v>
      </c>
      <c r="W76" s="34">
        <f t="shared" si="45"/>
        <v>-0.14180090497737552</v>
      </c>
      <c r="X76" s="11">
        <f>5316.29+1321.88</f>
        <v>6638.17</v>
      </c>
      <c r="Y76" s="18">
        <f t="shared" si="46"/>
        <v>-1096.83</v>
      </c>
      <c r="Z76" s="35">
        <f t="shared" si="50"/>
        <v>553.1808333333333</v>
      </c>
      <c r="AA76" s="34" t="e">
        <f t="shared" si="47"/>
        <v>#DIV/0!</v>
      </c>
      <c r="AB76" s="11">
        <v>7735</v>
      </c>
      <c r="AC76" s="18">
        <f t="shared" si="38"/>
        <v>7735</v>
      </c>
      <c r="AD76" s="35">
        <f t="shared" si="39"/>
        <v>644.5833333333334</v>
      </c>
      <c r="AE76" s="34">
        <f t="shared" si="48"/>
        <v>-1</v>
      </c>
      <c r="AF76" s="11"/>
      <c r="AG76" s="18">
        <f t="shared" si="51"/>
        <v>-4640</v>
      </c>
      <c r="AH76" s="35">
        <f t="shared" si="52"/>
        <v>0</v>
      </c>
      <c r="AI76" s="13"/>
      <c r="AJ76" s="11">
        <v>4640</v>
      </c>
      <c r="AK76" s="11"/>
      <c r="AL76" s="3"/>
    </row>
    <row r="77" spans="1:38" s="20" customFormat="1" ht="15.75">
      <c r="A77" s="22" t="s">
        <v>136</v>
      </c>
      <c r="B77" s="15"/>
      <c r="C77" s="22" t="s">
        <v>137</v>
      </c>
      <c r="D77" s="15"/>
      <c r="E77" s="6" t="s">
        <v>136</v>
      </c>
      <c r="F77" s="6">
        <v>17.06</v>
      </c>
      <c r="G77" s="32" t="e">
        <f>H77/L77-1</f>
        <v>#DIV/0!</v>
      </c>
      <c r="H77" s="18"/>
      <c r="I77" s="18">
        <f t="shared" si="41"/>
        <v>0</v>
      </c>
      <c r="J77" s="33">
        <f t="shared" si="40"/>
        <v>0</v>
      </c>
      <c r="K77" s="32">
        <f>L77/P77-1</f>
        <v>-1</v>
      </c>
      <c r="L77" s="18"/>
      <c r="M77" s="18">
        <f t="shared" si="42"/>
        <v>-0.46</v>
      </c>
      <c r="N77" s="33">
        <f t="shared" si="34"/>
        <v>0</v>
      </c>
      <c r="O77" s="32">
        <f>P77/T77-1</f>
        <v>-0.9243421052631579</v>
      </c>
      <c r="P77" s="18">
        <v>0.46</v>
      </c>
      <c r="Q77" s="18">
        <f t="shared" si="43"/>
        <v>-5.62</v>
      </c>
      <c r="R77" s="33">
        <f t="shared" si="35"/>
        <v>0.03833333333333334</v>
      </c>
      <c r="S77" s="32">
        <f>T77/X77-1</f>
        <v>-0.9648493958489912</v>
      </c>
      <c r="T77" s="18">
        <v>6.08</v>
      </c>
      <c r="U77" s="18">
        <f t="shared" si="44"/>
        <v>-166.89</v>
      </c>
      <c r="V77" s="33">
        <f t="shared" si="36"/>
        <v>0.5066666666666667</v>
      </c>
      <c r="W77" s="32">
        <f t="shared" si="45"/>
        <v>6.684140382052421</v>
      </c>
      <c r="X77" s="18">
        <v>172.97</v>
      </c>
      <c r="Y77" s="18">
        <f t="shared" si="46"/>
        <v>150.46</v>
      </c>
      <c r="Z77" s="33">
        <f t="shared" si="50"/>
        <v>14.414166666666667</v>
      </c>
      <c r="AA77" s="32">
        <f t="shared" si="47"/>
        <v>0.3194607268464247</v>
      </c>
      <c r="AB77" s="18">
        <v>22.51</v>
      </c>
      <c r="AC77" s="18">
        <f t="shared" si="38"/>
        <v>5.450000000000003</v>
      </c>
      <c r="AD77" s="33">
        <f t="shared" si="39"/>
        <v>1.8758333333333335</v>
      </c>
      <c r="AE77" s="32">
        <f t="shared" si="48"/>
        <v>1.41643059490085</v>
      </c>
      <c r="AF77" s="18">
        <v>17.06</v>
      </c>
      <c r="AG77" s="18">
        <f t="shared" si="51"/>
        <v>10</v>
      </c>
      <c r="AH77" s="33">
        <f t="shared" si="52"/>
        <v>1.4216666666666666</v>
      </c>
      <c r="AI77" s="17">
        <f t="shared" si="49"/>
        <v>-0.2975124378109454</v>
      </c>
      <c r="AJ77" s="18">
        <v>7.06</v>
      </c>
      <c r="AK77" s="18">
        <v>10.05</v>
      </c>
      <c r="AL77" s="19"/>
    </row>
    <row r="78" spans="1:38" s="20" customFormat="1" ht="15.75">
      <c r="A78" s="22" t="s">
        <v>138</v>
      </c>
      <c r="B78" s="15"/>
      <c r="C78" s="22" t="s">
        <v>139</v>
      </c>
      <c r="D78" s="15"/>
      <c r="E78" s="6"/>
      <c r="F78" s="6"/>
      <c r="G78" s="32"/>
      <c r="H78" s="18"/>
      <c r="I78" s="18">
        <f t="shared" si="41"/>
        <v>0</v>
      </c>
      <c r="J78" s="33">
        <f t="shared" si="40"/>
        <v>0</v>
      </c>
      <c r="K78" s="32"/>
      <c r="L78" s="18"/>
      <c r="M78" s="18">
        <f t="shared" si="42"/>
        <v>0</v>
      </c>
      <c r="N78" s="33">
        <f t="shared" si="34"/>
        <v>0</v>
      </c>
      <c r="O78" s="32"/>
      <c r="P78" s="18"/>
      <c r="Q78" s="18">
        <f t="shared" si="43"/>
        <v>0</v>
      </c>
      <c r="R78" s="33">
        <f t="shared" si="35"/>
        <v>0</v>
      </c>
      <c r="S78" s="32"/>
      <c r="T78" s="18"/>
      <c r="U78" s="18">
        <f t="shared" si="44"/>
        <v>0</v>
      </c>
      <c r="V78" s="33">
        <f t="shared" si="36"/>
        <v>0</v>
      </c>
      <c r="W78" s="32"/>
      <c r="X78" s="18"/>
      <c r="Y78" s="18">
        <f t="shared" si="46"/>
        <v>0</v>
      </c>
      <c r="Z78" s="33">
        <f t="shared" si="50"/>
        <v>0</v>
      </c>
      <c r="AA78" s="32"/>
      <c r="AB78" s="18"/>
      <c r="AC78" s="18">
        <f t="shared" si="38"/>
        <v>0</v>
      </c>
      <c r="AD78" s="33">
        <f t="shared" si="39"/>
        <v>0</v>
      </c>
      <c r="AE78" s="32"/>
      <c r="AF78" s="18"/>
      <c r="AG78" s="18">
        <f t="shared" si="51"/>
        <v>0</v>
      </c>
      <c r="AH78" s="33">
        <f t="shared" si="52"/>
        <v>0</v>
      </c>
      <c r="AI78" s="17"/>
      <c r="AJ78" s="18"/>
      <c r="AK78" s="18"/>
      <c r="AL78" s="19"/>
    </row>
    <row r="79" spans="1:38" s="20" customFormat="1" ht="15.75">
      <c r="A79" s="22" t="s">
        <v>140</v>
      </c>
      <c r="B79" s="15"/>
      <c r="C79" s="22" t="s">
        <v>141</v>
      </c>
      <c r="D79" s="15"/>
      <c r="E79" s="6" t="s">
        <v>140</v>
      </c>
      <c r="F79" s="6">
        <v>8941.31</v>
      </c>
      <c r="G79" s="37"/>
      <c r="H79" s="18"/>
      <c r="I79" s="18">
        <f t="shared" si="41"/>
        <v>0</v>
      </c>
      <c r="J79" s="33">
        <f t="shared" si="40"/>
        <v>0</v>
      </c>
      <c r="K79" s="37"/>
      <c r="L79" s="18"/>
      <c r="M79" s="18">
        <f t="shared" si="42"/>
        <v>0</v>
      </c>
      <c r="N79" s="33">
        <f t="shared" si="34"/>
        <v>0</v>
      </c>
      <c r="O79" s="37"/>
      <c r="P79" s="18"/>
      <c r="Q79" s="18">
        <f t="shared" si="43"/>
        <v>0</v>
      </c>
      <c r="R79" s="33">
        <f t="shared" si="35"/>
        <v>0</v>
      </c>
      <c r="S79" s="37"/>
      <c r="T79" s="18"/>
      <c r="U79" s="18">
        <f t="shared" si="44"/>
        <v>-29715.75</v>
      </c>
      <c r="V79" s="33">
        <f t="shared" si="36"/>
        <v>0</v>
      </c>
      <c r="W79" s="37"/>
      <c r="X79" s="18">
        <f>11715.75+18000</f>
        <v>29715.75</v>
      </c>
      <c r="Y79" s="18">
        <f t="shared" si="46"/>
        <v>29715.75</v>
      </c>
      <c r="Z79" s="33">
        <f t="shared" si="50"/>
        <v>2476.3125</v>
      </c>
      <c r="AA79" s="37"/>
      <c r="AB79" s="18"/>
      <c r="AC79" s="18">
        <f t="shared" si="38"/>
        <v>-8941.31</v>
      </c>
      <c r="AD79" s="33">
        <f t="shared" si="39"/>
        <v>0</v>
      </c>
      <c r="AE79" s="37"/>
      <c r="AF79" s="18">
        <v>8941.31</v>
      </c>
      <c r="AG79" s="18">
        <f t="shared" si="51"/>
        <v>8941.31</v>
      </c>
      <c r="AH79" s="33">
        <f t="shared" si="52"/>
        <v>745.1091666666666</v>
      </c>
      <c r="AI79" s="17"/>
      <c r="AJ79" s="18"/>
      <c r="AK79" s="18"/>
      <c r="AL79" s="19"/>
    </row>
    <row r="80" spans="1:38" s="20" customFormat="1" ht="15.75">
      <c r="A80" s="22" t="s">
        <v>142</v>
      </c>
      <c r="B80" s="15"/>
      <c r="C80" s="22" t="s">
        <v>143</v>
      </c>
      <c r="D80" s="15"/>
      <c r="E80" s="6" t="s">
        <v>142</v>
      </c>
      <c r="F80" s="6">
        <v>21724.87</v>
      </c>
      <c r="G80" s="32">
        <f aca="true" t="shared" si="53" ref="G80:G132">H80/L80-1</f>
        <v>0.6970847782205889</v>
      </c>
      <c r="H80" s="78">
        <v>47216.7</v>
      </c>
      <c r="I80" s="18">
        <f t="shared" si="41"/>
        <v>19394.459999999995</v>
      </c>
      <c r="J80" s="33">
        <f t="shared" si="40"/>
        <v>3934.725</v>
      </c>
      <c r="K80" s="32">
        <f aca="true" t="shared" si="54" ref="K80:K148">L80/P80-1</f>
        <v>-0.047890796185983686</v>
      </c>
      <c r="L80" s="78">
        <f>26594.24+1228</f>
        <v>27822.24</v>
      </c>
      <c r="M80" s="18">
        <f t="shared" si="42"/>
        <v>-1399.449999999997</v>
      </c>
      <c r="N80" s="33">
        <f t="shared" si="34"/>
        <v>2318.52</v>
      </c>
      <c r="O80" s="32">
        <f aca="true" t="shared" si="55" ref="O80:O148">P80/T80-1</f>
        <v>0</v>
      </c>
      <c r="P80" s="18">
        <v>29221.69</v>
      </c>
      <c r="Q80" s="18">
        <f t="shared" si="43"/>
        <v>0</v>
      </c>
      <c r="R80" s="33">
        <f t="shared" si="35"/>
        <v>2435.1408333333334</v>
      </c>
      <c r="S80" s="32">
        <f aca="true" t="shared" si="56" ref="S80:S148">T80/X80-1</f>
        <v>-0.3923575392693782</v>
      </c>
      <c r="T80" s="18">
        <v>29221.69</v>
      </c>
      <c r="U80" s="18">
        <f t="shared" si="44"/>
        <v>-18868.579999999998</v>
      </c>
      <c r="V80" s="33">
        <f t="shared" si="36"/>
        <v>2435.1408333333334</v>
      </c>
      <c r="W80" s="32">
        <f t="shared" si="45"/>
        <v>0.3384418720379938</v>
      </c>
      <c r="X80" s="18">
        <v>48090.27</v>
      </c>
      <c r="Y80" s="18">
        <f t="shared" si="46"/>
        <v>12160.229999999996</v>
      </c>
      <c r="Z80" s="33">
        <f t="shared" si="50"/>
        <v>4007.5224999999996</v>
      </c>
      <c r="AA80" s="32">
        <f>AB80/AF80-1</f>
        <v>0.6538667435064054</v>
      </c>
      <c r="AB80" s="18">
        <v>35930.04</v>
      </c>
      <c r="AC80" s="18">
        <f t="shared" si="38"/>
        <v>14205.170000000002</v>
      </c>
      <c r="AD80" s="33">
        <f t="shared" si="39"/>
        <v>2994.17</v>
      </c>
      <c r="AE80" s="32">
        <f>AF80/AJ80-1</f>
        <v>0.6684050950209424</v>
      </c>
      <c r="AF80" s="18">
        <v>21724.87</v>
      </c>
      <c r="AG80" s="18">
        <f t="shared" si="51"/>
        <v>8703.529999999999</v>
      </c>
      <c r="AH80" s="33">
        <f t="shared" si="52"/>
        <v>1810.4058333333332</v>
      </c>
      <c r="AI80" s="17">
        <f t="shared" si="49"/>
        <v>0.9733369300340675</v>
      </c>
      <c r="AJ80" s="18">
        <v>13021.34</v>
      </c>
      <c r="AK80" s="18">
        <v>6598.64</v>
      </c>
      <c r="AL80" s="19"/>
    </row>
    <row r="81" spans="1:38" s="20" customFormat="1" ht="15.75">
      <c r="A81" s="18"/>
      <c r="B81" s="16" t="s">
        <v>144</v>
      </c>
      <c r="C81" s="15"/>
      <c r="D81" s="16" t="s">
        <v>145</v>
      </c>
      <c r="E81" s="6"/>
      <c r="F81" s="6"/>
      <c r="G81" s="32">
        <f t="shared" si="53"/>
        <v>0.1473027541964269</v>
      </c>
      <c r="H81" s="18">
        <f>+H82+H93+H99+H105+H125+H132+H155+H160+H173+H180+H189+H192+H198+H199+H200+H201+H204+H206</f>
        <v>177452.25</v>
      </c>
      <c r="I81" s="18">
        <f t="shared" si="41"/>
        <v>22783.179999999964</v>
      </c>
      <c r="J81" s="33">
        <f t="shared" si="40"/>
        <v>14787.6875</v>
      </c>
      <c r="K81" s="32">
        <f t="shared" si="54"/>
        <v>-0.05422346155071467</v>
      </c>
      <c r="L81" s="18">
        <f>+L82+L93+L99+L105+L125+L132+L155+L160+L173+L180+L189+L192+L198+L199+L200+L201+L204+L206</f>
        <v>154669.07000000004</v>
      </c>
      <c r="M81" s="18">
        <f t="shared" si="42"/>
        <v>-8867.51999999999</v>
      </c>
      <c r="N81" s="33">
        <f t="shared" si="34"/>
        <v>12889.08916666667</v>
      </c>
      <c r="O81" s="32">
        <f t="shared" si="55"/>
        <v>-0.0923728816851691</v>
      </c>
      <c r="P81" s="18">
        <f>+P82+P93+P99+P105+P125+P132+P155+P160+P173+P180+P189+P192+P198+P199+P200+P201+P204+P206</f>
        <v>163536.59000000003</v>
      </c>
      <c r="Q81" s="18">
        <f t="shared" si="43"/>
        <v>-16643.78</v>
      </c>
      <c r="R81" s="33">
        <f t="shared" si="35"/>
        <v>13628.04916666667</v>
      </c>
      <c r="S81" s="32">
        <f t="shared" si="56"/>
        <v>-0.1608446287786014</v>
      </c>
      <c r="T81" s="18">
        <f>+T82+T93+T99+T105+T125+T132+T155+T160+T173+T180+T189+T192+T198+T199+T200+T201+T204+T206</f>
        <v>180180.37000000002</v>
      </c>
      <c r="U81" s="18">
        <f t="shared" si="44"/>
        <v>-34535.96999999997</v>
      </c>
      <c r="V81" s="33">
        <f t="shared" si="36"/>
        <v>15015.030833333336</v>
      </c>
      <c r="W81" s="32">
        <f t="shared" si="45"/>
        <v>0.24163214031607594</v>
      </c>
      <c r="X81" s="18">
        <f>+X82+X93+X99+X105+X125+X132+X155+X160+X173+X180+X189+X192+X198+X199+X200+X201+X204+X206</f>
        <v>214716.34</v>
      </c>
      <c r="Y81" s="18">
        <f t="shared" si="46"/>
        <v>41785.620000000024</v>
      </c>
      <c r="Z81" s="33">
        <f t="shared" si="50"/>
        <v>17893.028333333332</v>
      </c>
      <c r="AA81" s="32">
        <f>AB81/AF81-1</f>
        <v>-0.08506292209782096</v>
      </c>
      <c r="AB81" s="18">
        <f>+AB82+AB93+AB99+AB105+AB125+AB132+AB155+AB160+AB173+AB180+AB189+AB192+AB198+AB199+AB200+AB201+AB204+AB206</f>
        <v>172930.71999999997</v>
      </c>
      <c r="AC81" s="18">
        <f t="shared" si="38"/>
        <v>-16077.600000000006</v>
      </c>
      <c r="AD81" s="33">
        <f t="shared" si="39"/>
        <v>14410.893333333332</v>
      </c>
      <c r="AE81" s="32">
        <f>AF81/AJ81-1</f>
        <v>0.08626407698916938</v>
      </c>
      <c r="AF81" s="18">
        <f>+AF82+AF93+AF99+AF105+AF125+AF132+AF155+AF160+AF173+AF180+AF189+AF192+AF198+AF199+AF200+AF201+AF204+AF206</f>
        <v>189008.31999999998</v>
      </c>
      <c r="AG81" s="18">
        <f t="shared" si="51"/>
        <v>15009.819999999978</v>
      </c>
      <c r="AH81" s="33">
        <f t="shared" si="52"/>
        <v>15750.69333333333</v>
      </c>
      <c r="AI81" s="17">
        <f t="shared" si="49"/>
        <v>0.154935003481097</v>
      </c>
      <c r="AJ81" s="18">
        <f>+AJ82+AJ93+AJ99+AJ105+AJ125+AJ132+AJ155+AJ160+AJ173+AJ180+AJ189+AJ192+AJ198+AJ199+AJ200+AJ201+AJ204</f>
        <v>173998.5</v>
      </c>
      <c r="AK81" s="18">
        <f>+AK82+AK93+AK99+AK105+AK125+AK132+AK155+AK160+AK173+AK180+AK189+AK192+AK198+AK199+AK200+AK201+AK204</f>
        <v>150656.53</v>
      </c>
      <c r="AL81" s="19">
        <f>+AL82+AL93+AL99+AL105+AL125+AL132+AL155+AL160+AL173+AL180+AL189+AL192+AL198+AL199+AL200+AL201+AL204</f>
        <v>0</v>
      </c>
    </row>
    <row r="82" spans="1:38" s="20" customFormat="1" ht="15.75">
      <c r="A82" s="15"/>
      <c r="B82" s="16" t="s">
        <v>146</v>
      </c>
      <c r="C82" s="15"/>
      <c r="D82" s="16" t="s">
        <v>147</v>
      </c>
      <c r="E82" s="6"/>
      <c r="F82" s="6"/>
      <c r="G82" s="32">
        <f t="shared" si="53"/>
        <v>0.03487316933090834</v>
      </c>
      <c r="H82" s="18">
        <f>SUM(H83:H92)</f>
        <v>8108.49</v>
      </c>
      <c r="I82" s="18">
        <f t="shared" si="41"/>
        <v>273.2399999999998</v>
      </c>
      <c r="J82" s="33">
        <f t="shared" si="40"/>
        <v>675.7075</v>
      </c>
      <c r="K82" s="32">
        <f t="shared" si="54"/>
        <v>1.0614522053019857</v>
      </c>
      <c r="L82" s="18">
        <f>SUM(L83:L92)</f>
        <v>7835.25</v>
      </c>
      <c r="M82" s="18">
        <f t="shared" si="42"/>
        <v>4034.41</v>
      </c>
      <c r="N82" s="33">
        <f t="shared" si="34"/>
        <v>652.9375</v>
      </c>
      <c r="O82" s="32">
        <f t="shared" si="55"/>
        <v>-0.009217454772952327</v>
      </c>
      <c r="P82" s="18">
        <f>SUM(P83:P92)</f>
        <v>3800.84</v>
      </c>
      <c r="Q82" s="18">
        <f t="shared" si="43"/>
        <v>-35.35999999999967</v>
      </c>
      <c r="R82" s="33">
        <f t="shared" si="35"/>
        <v>316.7366666666667</v>
      </c>
      <c r="S82" s="32">
        <f t="shared" si="56"/>
        <v>0.029302466601734967</v>
      </c>
      <c r="T82" s="18">
        <f>SUM(T83:T92)</f>
        <v>3836.2</v>
      </c>
      <c r="U82" s="18">
        <f t="shared" si="44"/>
        <v>109.21000000000004</v>
      </c>
      <c r="V82" s="33">
        <f t="shared" si="36"/>
        <v>319.68333333333334</v>
      </c>
      <c r="W82" s="32">
        <f t="shared" si="45"/>
        <v>-0.30258812169841853</v>
      </c>
      <c r="X82" s="18">
        <f>SUM(X83:X92)</f>
        <v>3726.99</v>
      </c>
      <c r="Y82" s="18">
        <f t="shared" si="46"/>
        <v>-1617.039999999999</v>
      </c>
      <c r="Z82" s="33">
        <f t="shared" si="50"/>
        <v>310.5825</v>
      </c>
      <c r="AA82" s="32">
        <f>AB82/AF82-1</f>
        <v>0.05428220829847996</v>
      </c>
      <c r="AB82" s="18">
        <f>SUM(AB83:AB92)</f>
        <v>5344.029999999999</v>
      </c>
      <c r="AC82" s="18">
        <f t="shared" si="38"/>
        <v>275.1499999999987</v>
      </c>
      <c r="AD82" s="33">
        <f t="shared" si="39"/>
        <v>445.33583333333326</v>
      </c>
      <c r="AE82" s="32">
        <f>AF82/AJ82-1</f>
        <v>-0.6022763918890396</v>
      </c>
      <c r="AF82" s="18">
        <f>SUM(AF83:AF92)</f>
        <v>5068.88</v>
      </c>
      <c r="AG82" s="18">
        <f t="shared" si="51"/>
        <v>-7675.849999999999</v>
      </c>
      <c r="AH82" s="33">
        <f t="shared" si="52"/>
        <v>422.4066666666667</v>
      </c>
      <c r="AI82" s="17">
        <f t="shared" si="49"/>
        <v>1.168747256038417</v>
      </c>
      <c r="AJ82" s="18">
        <f>SUM(AJ83:AJ92)</f>
        <v>12744.73</v>
      </c>
      <c r="AK82" s="18">
        <f>SUM(AK83:AK92)</f>
        <v>5876.54</v>
      </c>
      <c r="AL82" s="19">
        <f>SUM(AL83:AL92)</f>
        <v>0</v>
      </c>
    </row>
    <row r="83" spans="1:38" ht="15.75">
      <c r="A83" s="12" t="s">
        <v>148</v>
      </c>
      <c r="B83" s="6"/>
      <c r="C83" s="12" t="s">
        <v>149</v>
      </c>
      <c r="D83" s="6"/>
      <c r="E83" s="6" t="s">
        <v>148</v>
      </c>
      <c r="F83" s="6">
        <v>625.6</v>
      </c>
      <c r="G83" s="34">
        <f t="shared" si="53"/>
        <v>0.2679687500000001</v>
      </c>
      <c r="H83" s="11">
        <v>649.2</v>
      </c>
      <c r="I83" s="18">
        <f t="shared" si="41"/>
        <v>137.20000000000005</v>
      </c>
      <c r="J83" s="35">
        <f t="shared" si="40"/>
        <v>54.1</v>
      </c>
      <c r="K83" s="34">
        <f t="shared" si="54"/>
        <v>-0.30773391022174146</v>
      </c>
      <c r="L83" s="11">
        <v>512</v>
      </c>
      <c r="M83" s="18">
        <f t="shared" si="42"/>
        <v>-227.60000000000002</v>
      </c>
      <c r="N83" s="35">
        <f t="shared" si="34"/>
        <v>42.666666666666664</v>
      </c>
      <c r="O83" s="34">
        <f t="shared" si="55"/>
        <v>0.14135802469135816</v>
      </c>
      <c r="P83" s="11">
        <v>739.6</v>
      </c>
      <c r="Q83" s="18">
        <f t="shared" si="43"/>
        <v>91.60000000000002</v>
      </c>
      <c r="R83" s="35">
        <f t="shared" si="35"/>
        <v>61.63333333333333</v>
      </c>
      <c r="S83" s="34">
        <f t="shared" si="56"/>
        <v>0.10448269984659952</v>
      </c>
      <c r="T83" s="11">
        <v>648</v>
      </c>
      <c r="U83" s="18">
        <f t="shared" si="44"/>
        <v>61.299999999999955</v>
      </c>
      <c r="V83" s="35">
        <f t="shared" si="36"/>
        <v>54</v>
      </c>
      <c r="W83" s="34">
        <f t="shared" si="45"/>
        <v>-0.1463698530481593</v>
      </c>
      <c r="X83" s="11">
        <v>586.7</v>
      </c>
      <c r="Y83" s="18">
        <f t="shared" si="46"/>
        <v>-100.59999999999991</v>
      </c>
      <c r="Z83" s="35">
        <f t="shared" si="50"/>
        <v>48.89166666666667</v>
      </c>
      <c r="AA83" s="34">
        <f>AB83/AF83-1</f>
        <v>0.09862531969309463</v>
      </c>
      <c r="AB83" s="11">
        <v>687.3</v>
      </c>
      <c r="AC83" s="18">
        <f t="shared" si="38"/>
        <v>61.69999999999993</v>
      </c>
      <c r="AD83" s="35">
        <f t="shared" si="39"/>
        <v>57.275</v>
      </c>
      <c r="AE83" s="34">
        <f>AF83/AJ83-1</f>
        <v>-0.15241837149437742</v>
      </c>
      <c r="AF83" s="11">
        <v>625.6</v>
      </c>
      <c r="AG83" s="18">
        <f t="shared" si="51"/>
        <v>-112.5</v>
      </c>
      <c r="AH83" s="35">
        <f t="shared" si="52"/>
        <v>52.13333333333333</v>
      </c>
      <c r="AI83" s="10">
        <f t="shared" si="49"/>
        <v>0.06366728153101242</v>
      </c>
      <c r="AJ83" s="11">
        <v>738.1</v>
      </c>
      <c r="AK83" s="11">
        <v>693.92</v>
      </c>
      <c r="AL83" s="3"/>
    </row>
    <row r="84" spans="1:38" ht="15.75">
      <c r="A84" s="12" t="s">
        <v>150</v>
      </c>
      <c r="B84" s="6"/>
      <c r="C84" s="12" t="s">
        <v>151</v>
      </c>
      <c r="D84" s="6"/>
      <c r="E84" s="6"/>
      <c r="F84" s="6"/>
      <c r="G84" s="34" t="e">
        <f t="shared" si="53"/>
        <v>#DIV/0!</v>
      </c>
      <c r="H84" s="11"/>
      <c r="I84" s="18">
        <f t="shared" si="41"/>
        <v>0</v>
      </c>
      <c r="J84" s="35">
        <f t="shared" si="40"/>
        <v>0</v>
      </c>
      <c r="K84" s="34" t="e">
        <f t="shared" si="54"/>
        <v>#DIV/0!</v>
      </c>
      <c r="L84" s="11"/>
      <c r="M84" s="18">
        <f t="shared" si="42"/>
        <v>0</v>
      </c>
      <c r="N84" s="35">
        <f t="shared" si="34"/>
        <v>0</v>
      </c>
      <c r="O84" s="34" t="e">
        <f t="shared" si="55"/>
        <v>#DIV/0!</v>
      </c>
      <c r="P84" s="11"/>
      <c r="Q84" s="18">
        <f t="shared" si="43"/>
        <v>0</v>
      </c>
      <c r="R84" s="35">
        <f t="shared" si="35"/>
        <v>0</v>
      </c>
      <c r="S84" s="34" t="e">
        <f t="shared" si="56"/>
        <v>#DIV/0!</v>
      </c>
      <c r="T84" s="11"/>
      <c r="U84" s="18">
        <f t="shared" si="44"/>
        <v>0</v>
      </c>
      <c r="V84" s="35">
        <f t="shared" si="36"/>
        <v>0</v>
      </c>
      <c r="W84" s="34" t="e">
        <f t="shared" si="45"/>
        <v>#DIV/0!</v>
      </c>
      <c r="X84" s="11"/>
      <c r="Y84" s="18">
        <f t="shared" si="46"/>
        <v>0</v>
      </c>
      <c r="Z84" s="35">
        <f t="shared" si="50"/>
        <v>0</v>
      </c>
      <c r="AA84" s="34"/>
      <c r="AB84" s="11"/>
      <c r="AC84" s="18">
        <f t="shared" si="38"/>
        <v>0</v>
      </c>
      <c r="AD84" s="35">
        <f t="shared" si="39"/>
        <v>0</v>
      </c>
      <c r="AE84" s="34"/>
      <c r="AF84" s="11"/>
      <c r="AG84" s="18">
        <f t="shared" si="51"/>
        <v>0</v>
      </c>
      <c r="AH84" s="35">
        <f t="shared" si="52"/>
        <v>0</v>
      </c>
      <c r="AI84" s="10">
        <f t="shared" si="49"/>
        <v>-1</v>
      </c>
      <c r="AJ84" s="11"/>
      <c r="AK84" s="11">
        <v>21.5</v>
      </c>
      <c r="AL84" s="3"/>
    </row>
    <row r="85" spans="1:38" ht="15.75">
      <c r="A85" s="12" t="s">
        <v>152</v>
      </c>
      <c r="B85" s="6"/>
      <c r="C85" s="12" t="s">
        <v>153</v>
      </c>
      <c r="D85" s="6"/>
      <c r="E85" s="6" t="s">
        <v>152</v>
      </c>
      <c r="F85" s="6">
        <v>703.14</v>
      </c>
      <c r="G85" s="34">
        <f t="shared" si="53"/>
        <v>-1</v>
      </c>
      <c r="H85" s="11"/>
      <c r="I85" s="18">
        <f t="shared" si="41"/>
        <v>-35</v>
      </c>
      <c r="J85" s="35">
        <f t="shared" si="40"/>
        <v>0</v>
      </c>
      <c r="K85" s="34" t="e">
        <f t="shared" si="54"/>
        <v>#DIV/0!</v>
      </c>
      <c r="L85" s="11">
        <v>35</v>
      </c>
      <c r="M85" s="18">
        <f t="shared" si="42"/>
        <v>35</v>
      </c>
      <c r="N85" s="35">
        <f t="shared" si="34"/>
        <v>2.9166666666666665</v>
      </c>
      <c r="O85" s="34">
        <f t="shared" si="55"/>
        <v>-1</v>
      </c>
      <c r="P85" s="11"/>
      <c r="Q85" s="18">
        <f t="shared" si="43"/>
        <v>-181.77</v>
      </c>
      <c r="R85" s="35">
        <f t="shared" si="35"/>
        <v>0</v>
      </c>
      <c r="S85" s="34">
        <f t="shared" si="56"/>
        <v>-0.3732068965517241</v>
      </c>
      <c r="T85" s="11">
        <v>181.77</v>
      </c>
      <c r="U85" s="18">
        <f t="shared" si="44"/>
        <v>-108.22999999999999</v>
      </c>
      <c r="V85" s="35">
        <f t="shared" si="36"/>
        <v>15.1475</v>
      </c>
      <c r="W85" s="34">
        <f t="shared" si="45"/>
        <v>3.9319727891156466</v>
      </c>
      <c r="X85" s="11">
        <v>290</v>
      </c>
      <c r="Y85" s="18">
        <f t="shared" si="46"/>
        <v>231.2</v>
      </c>
      <c r="Z85" s="35">
        <f t="shared" si="50"/>
        <v>24.166666666666668</v>
      </c>
      <c r="AA85" s="34">
        <f>AB85/AF85-1</f>
        <v>-0.9163751173308303</v>
      </c>
      <c r="AB85" s="11">
        <v>58.8</v>
      </c>
      <c r="AC85" s="18">
        <f t="shared" si="38"/>
        <v>-644.34</v>
      </c>
      <c r="AD85" s="35">
        <f t="shared" si="39"/>
        <v>4.8999999999999995</v>
      </c>
      <c r="AE85" s="34">
        <f>AF85/AJ85-1</f>
        <v>-0.8268128078817734</v>
      </c>
      <c r="AF85" s="11">
        <v>703.14</v>
      </c>
      <c r="AG85" s="18">
        <f t="shared" si="51"/>
        <v>-3356.86</v>
      </c>
      <c r="AH85" s="35">
        <f t="shared" si="52"/>
        <v>58.595</v>
      </c>
      <c r="AI85" s="13"/>
      <c r="AJ85" s="11">
        <v>4060</v>
      </c>
      <c r="AK85" s="11"/>
      <c r="AL85" s="3"/>
    </row>
    <row r="86" spans="1:38" ht="15.75">
      <c r="A86" s="12" t="s">
        <v>154</v>
      </c>
      <c r="B86" s="6"/>
      <c r="C86" s="12" t="s">
        <v>155</v>
      </c>
      <c r="D86" s="6"/>
      <c r="E86" s="6" t="s">
        <v>154</v>
      </c>
      <c r="F86" s="6">
        <v>154.85</v>
      </c>
      <c r="G86" s="34">
        <f t="shared" si="53"/>
        <v>-0.9719860837997277</v>
      </c>
      <c r="H86" s="11">
        <v>18.52</v>
      </c>
      <c r="I86" s="18">
        <f t="shared" si="41"/>
        <v>-642.58</v>
      </c>
      <c r="J86" s="35">
        <f t="shared" si="40"/>
        <v>1.5433333333333332</v>
      </c>
      <c r="K86" s="34">
        <f t="shared" si="54"/>
        <v>5.611000000000001</v>
      </c>
      <c r="L86" s="11">
        <v>661.1</v>
      </c>
      <c r="M86" s="18">
        <f t="shared" si="42"/>
        <v>561.1</v>
      </c>
      <c r="N86" s="35">
        <f t="shared" si="34"/>
        <v>55.09166666666667</v>
      </c>
      <c r="O86" s="34">
        <f t="shared" si="55"/>
        <v>-0.6799999999999999</v>
      </c>
      <c r="P86" s="11">
        <v>100</v>
      </c>
      <c r="Q86" s="18">
        <f t="shared" si="43"/>
        <v>-212.5</v>
      </c>
      <c r="R86" s="35">
        <f t="shared" si="35"/>
        <v>8.333333333333334</v>
      </c>
      <c r="S86" s="34">
        <f t="shared" si="56"/>
        <v>0.20192307692307687</v>
      </c>
      <c r="T86" s="11">
        <v>312.5</v>
      </c>
      <c r="U86" s="18">
        <f t="shared" si="44"/>
        <v>52.5</v>
      </c>
      <c r="V86" s="35">
        <f t="shared" si="36"/>
        <v>26.041666666666668</v>
      </c>
      <c r="W86" s="34">
        <f t="shared" si="45"/>
        <v>-0.8440788960785842</v>
      </c>
      <c r="X86" s="11">
        <v>260</v>
      </c>
      <c r="Y86" s="18">
        <f t="shared" si="46"/>
        <v>-1407.51</v>
      </c>
      <c r="Z86" s="35">
        <f t="shared" si="50"/>
        <v>21.666666666666668</v>
      </c>
      <c r="AA86" s="34">
        <f>AB86/AF86-1</f>
        <v>9.76855020988053</v>
      </c>
      <c r="AB86" s="11">
        <v>1667.51</v>
      </c>
      <c r="AC86" s="18">
        <f t="shared" si="38"/>
        <v>1512.66</v>
      </c>
      <c r="AD86" s="35">
        <f t="shared" si="39"/>
        <v>138.95916666666668</v>
      </c>
      <c r="AE86" s="34">
        <f>AF86/AJ86-1</f>
        <v>-0.6326215895610914</v>
      </c>
      <c r="AF86" s="11">
        <v>154.85</v>
      </c>
      <c r="AG86" s="18">
        <f t="shared" si="51"/>
        <v>-266.65</v>
      </c>
      <c r="AH86" s="35">
        <f t="shared" si="52"/>
        <v>12.904166666666667</v>
      </c>
      <c r="AI86" s="10">
        <f t="shared" si="49"/>
        <v>-0.8583098023396531</v>
      </c>
      <c r="AJ86" s="11">
        <v>421.5</v>
      </c>
      <c r="AK86" s="11">
        <v>2974.8</v>
      </c>
      <c r="AL86" s="3"/>
    </row>
    <row r="87" spans="1:38" ht="15.75">
      <c r="A87" s="12" t="s">
        <v>156</v>
      </c>
      <c r="B87" s="6"/>
      <c r="C87" s="12" t="s">
        <v>157</v>
      </c>
      <c r="D87" s="6"/>
      <c r="E87" s="6"/>
      <c r="F87" s="6"/>
      <c r="G87" s="34" t="e">
        <f t="shared" si="53"/>
        <v>#DIV/0!</v>
      </c>
      <c r="H87" s="11"/>
      <c r="I87" s="18">
        <f t="shared" si="41"/>
        <v>0</v>
      </c>
      <c r="J87" s="35">
        <f t="shared" si="40"/>
        <v>0</v>
      </c>
      <c r="K87" s="34" t="e">
        <f t="shared" si="54"/>
        <v>#DIV/0!</v>
      </c>
      <c r="L87" s="11"/>
      <c r="M87" s="18">
        <f t="shared" si="42"/>
        <v>0</v>
      </c>
      <c r="N87" s="35">
        <f t="shared" si="34"/>
        <v>0</v>
      </c>
      <c r="O87" s="34" t="e">
        <f t="shared" si="55"/>
        <v>#DIV/0!</v>
      </c>
      <c r="P87" s="11"/>
      <c r="Q87" s="18">
        <f t="shared" si="43"/>
        <v>0</v>
      </c>
      <c r="R87" s="35">
        <f t="shared" si="35"/>
        <v>0</v>
      </c>
      <c r="S87" s="34" t="e">
        <f t="shared" si="56"/>
        <v>#DIV/0!</v>
      </c>
      <c r="T87" s="11"/>
      <c r="U87" s="18">
        <f t="shared" si="44"/>
        <v>0</v>
      </c>
      <c r="V87" s="35">
        <f t="shared" si="36"/>
        <v>0</v>
      </c>
      <c r="W87" s="34" t="e">
        <f t="shared" si="45"/>
        <v>#DIV/0!</v>
      </c>
      <c r="X87" s="11"/>
      <c r="Y87" s="18">
        <f t="shared" si="46"/>
        <v>0</v>
      </c>
      <c r="Z87" s="35">
        <f t="shared" si="50"/>
        <v>0</v>
      </c>
      <c r="AA87" s="34"/>
      <c r="AB87" s="11"/>
      <c r="AC87" s="18">
        <f t="shared" si="38"/>
        <v>0</v>
      </c>
      <c r="AD87" s="35">
        <f t="shared" si="39"/>
        <v>0</v>
      </c>
      <c r="AE87" s="34"/>
      <c r="AF87" s="11"/>
      <c r="AG87" s="18">
        <f t="shared" si="51"/>
        <v>0</v>
      </c>
      <c r="AH87" s="35">
        <f t="shared" si="52"/>
        <v>0</v>
      </c>
      <c r="AI87" s="10"/>
      <c r="AJ87" s="11"/>
      <c r="AK87" s="11"/>
      <c r="AL87" s="3"/>
    </row>
    <row r="88" spans="1:38" ht="15.75">
      <c r="A88" s="12" t="s">
        <v>158</v>
      </c>
      <c r="B88" s="6"/>
      <c r="C88" s="12" t="s">
        <v>159</v>
      </c>
      <c r="D88" s="6"/>
      <c r="E88" s="6"/>
      <c r="F88" s="6"/>
      <c r="G88" s="34" t="e">
        <f t="shared" si="53"/>
        <v>#DIV/0!</v>
      </c>
      <c r="H88" s="11"/>
      <c r="I88" s="18">
        <f t="shared" si="41"/>
        <v>0</v>
      </c>
      <c r="J88" s="35">
        <f t="shared" si="40"/>
        <v>0</v>
      </c>
      <c r="K88" s="34" t="e">
        <f t="shared" si="54"/>
        <v>#DIV/0!</v>
      </c>
      <c r="L88" s="11"/>
      <c r="M88" s="18">
        <f t="shared" si="42"/>
        <v>0</v>
      </c>
      <c r="N88" s="35">
        <f t="shared" si="34"/>
        <v>0</v>
      </c>
      <c r="O88" s="34" t="e">
        <f t="shared" si="55"/>
        <v>#DIV/0!</v>
      </c>
      <c r="P88" s="11"/>
      <c r="Q88" s="18">
        <f t="shared" si="43"/>
        <v>0</v>
      </c>
      <c r="R88" s="35">
        <f t="shared" si="35"/>
        <v>0</v>
      </c>
      <c r="S88" s="34" t="e">
        <f t="shared" si="56"/>
        <v>#DIV/0!</v>
      </c>
      <c r="T88" s="11"/>
      <c r="U88" s="18">
        <f t="shared" si="44"/>
        <v>0</v>
      </c>
      <c r="V88" s="35">
        <f t="shared" si="36"/>
        <v>0</v>
      </c>
      <c r="W88" s="34" t="e">
        <f t="shared" si="45"/>
        <v>#DIV/0!</v>
      </c>
      <c r="X88" s="11"/>
      <c r="Y88" s="18">
        <f t="shared" si="46"/>
        <v>0</v>
      </c>
      <c r="Z88" s="35">
        <f t="shared" si="50"/>
        <v>0</v>
      </c>
      <c r="AA88" s="34"/>
      <c r="AB88" s="11"/>
      <c r="AC88" s="18">
        <f t="shared" si="38"/>
        <v>0</v>
      </c>
      <c r="AD88" s="35">
        <f t="shared" si="39"/>
        <v>0</v>
      </c>
      <c r="AE88" s="34"/>
      <c r="AF88" s="11"/>
      <c r="AG88" s="18">
        <f t="shared" si="51"/>
        <v>0</v>
      </c>
      <c r="AH88" s="35">
        <f t="shared" si="52"/>
        <v>0</v>
      </c>
      <c r="AI88" s="10"/>
      <c r="AJ88" s="11"/>
      <c r="AK88" s="11"/>
      <c r="AL88" s="3"/>
    </row>
    <row r="89" spans="1:38" ht="15.75">
      <c r="A89" s="12" t="s">
        <v>160</v>
      </c>
      <c r="B89" s="6"/>
      <c r="C89" s="12" t="s">
        <v>161</v>
      </c>
      <c r="D89" s="6"/>
      <c r="E89" s="6" t="s">
        <v>160</v>
      </c>
      <c r="F89" s="6">
        <v>960</v>
      </c>
      <c r="G89" s="34">
        <f t="shared" si="53"/>
        <v>4.16</v>
      </c>
      <c r="H89" s="11">
        <f>175+250+220</f>
        <v>645</v>
      </c>
      <c r="I89" s="18">
        <f t="shared" si="41"/>
        <v>520</v>
      </c>
      <c r="J89" s="35">
        <f t="shared" si="40"/>
        <v>53.75</v>
      </c>
      <c r="K89" s="34">
        <f t="shared" si="54"/>
        <v>-0.5</v>
      </c>
      <c r="L89" s="11">
        <v>125</v>
      </c>
      <c r="M89" s="18">
        <f t="shared" si="42"/>
        <v>-125</v>
      </c>
      <c r="N89" s="35">
        <f t="shared" si="34"/>
        <v>10.416666666666666</v>
      </c>
      <c r="O89" s="34">
        <f t="shared" si="55"/>
        <v>-0.09090909090909094</v>
      </c>
      <c r="P89" s="11">
        <v>250</v>
      </c>
      <c r="Q89" s="18">
        <f t="shared" si="43"/>
        <v>-25</v>
      </c>
      <c r="R89" s="35">
        <f t="shared" si="35"/>
        <v>20.833333333333332</v>
      </c>
      <c r="S89" s="34">
        <f t="shared" si="56"/>
        <v>-0.5753879410175249</v>
      </c>
      <c r="T89" s="11">
        <f>125+150</f>
        <v>275</v>
      </c>
      <c r="U89" s="18">
        <f t="shared" si="44"/>
        <v>-372.65</v>
      </c>
      <c r="V89" s="35">
        <f t="shared" si="36"/>
        <v>22.916666666666668</v>
      </c>
      <c r="W89" s="34">
        <f t="shared" si="45"/>
        <v>2.012325581395349</v>
      </c>
      <c r="X89" s="11">
        <v>647.65</v>
      </c>
      <c r="Y89" s="18">
        <f t="shared" si="46"/>
        <v>432.65</v>
      </c>
      <c r="Z89" s="35">
        <f t="shared" si="50"/>
        <v>53.97083333333333</v>
      </c>
      <c r="AA89" s="34">
        <f>AB89/AF89-1</f>
        <v>-0.7760416666666666</v>
      </c>
      <c r="AB89" s="11">
        <v>215</v>
      </c>
      <c r="AC89" s="18">
        <f t="shared" si="38"/>
        <v>-745</v>
      </c>
      <c r="AD89" s="35">
        <f t="shared" si="39"/>
        <v>17.916666666666668</v>
      </c>
      <c r="AE89" s="34">
        <f aca="true" t="shared" si="57" ref="AE89:AE96">AF89/AJ89-1</f>
        <v>-0.21311475409836067</v>
      </c>
      <c r="AF89" s="11">
        <v>960</v>
      </c>
      <c r="AG89" s="18">
        <f t="shared" si="51"/>
        <v>-260</v>
      </c>
      <c r="AH89" s="35">
        <f t="shared" si="52"/>
        <v>80</v>
      </c>
      <c r="AI89" s="10">
        <f t="shared" si="49"/>
        <v>0.012448132780082943</v>
      </c>
      <c r="AJ89" s="11">
        <v>1220</v>
      </c>
      <c r="AK89" s="11">
        <v>1205</v>
      </c>
      <c r="AL89" s="3"/>
    </row>
    <row r="90" spans="1:38" ht="15.75">
      <c r="A90" s="12" t="s">
        <v>162</v>
      </c>
      <c r="B90" s="6"/>
      <c r="C90" s="12" t="s">
        <v>163</v>
      </c>
      <c r="D90" s="6"/>
      <c r="E90" s="6" t="s">
        <v>162</v>
      </c>
      <c r="F90" s="6">
        <v>2625.29</v>
      </c>
      <c r="G90" s="34">
        <f t="shared" si="53"/>
        <v>0.06615280787127475</v>
      </c>
      <c r="H90" s="11">
        <v>1500.77</v>
      </c>
      <c r="I90" s="18">
        <f t="shared" si="41"/>
        <v>93.11999999999989</v>
      </c>
      <c r="J90" s="35">
        <f t="shared" si="40"/>
        <v>125.06416666666667</v>
      </c>
      <c r="K90" s="34">
        <f t="shared" si="54"/>
        <v>-0.06390067431869861</v>
      </c>
      <c r="L90" s="11">
        <v>1407.65</v>
      </c>
      <c r="M90" s="18">
        <f t="shared" si="42"/>
        <v>-96.08999999999992</v>
      </c>
      <c r="N90" s="35">
        <f t="shared" si="34"/>
        <v>117.30416666666667</v>
      </c>
      <c r="O90" s="34">
        <f t="shared" si="55"/>
        <v>-0.2710659111070176</v>
      </c>
      <c r="P90" s="11">
        <v>1503.74</v>
      </c>
      <c r="Q90" s="18">
        <f t="shared" si="43"/>
        <v>-559.1899999999998</v>
      </c>
      <c r="R90" s="35">
        <f t="shared" si="35"/>
        <v>125.31166666666667</v>
      </c>
      <c r="S90" s="34">
        <f t="shared" si="56"/>
        <v>0.41719793355499957</v>
      </c>
      <c r="T90" s="11">
        <v>2062.93</v>
      </c>
      <c r="U90" s="18">
        <f t="shared" si="44"/>
        <v>607.2899999999997</v>
      </c>
      <c r="V90" s="35">
        <f t="shared" si="36"/>
        <v>171.91083333333333</v>
      </c>
      <c r="W90" s="34">
        <f t="shared" si="45"/>
        <v>-0.46354443068577156</v>
      </c>
      <c r="X90" s="11">
        <v>1455.64</v>
      </c>
      <c r="Y90" s="18">
        <f t="shared" si="46"/>
        <v>-1257.8</v>
      </c>
      <c r="Z90" s="35">
        <f t="shared" si="50"/>
        <v>121.30333333333334</v>
      </c>
      <c r="AA90" s="34">
        <f>AB90/AF90-1</f>
        <v>0.03357724289507069</v>
      </c>
      <c r="AB90" s="11">
        <v>2713.44</v>
      </c>
      <c r="AC90" s="18">
        <f t="shared" si="38"/>
        <v>88.15000000000009</v>
      </c>
      <c r="AD90" s="35">
        <f t="shared" si="39"/>
        <v>226.12</v>
      </c>
      <c r="AE90" s="34">
        <f t="shared" si="57"/>
        <v>11.239114219114219</v>
      </c>
      <c r="AF90" s="11">
        <v>2625.29</v>
      </c>
      <c r="AG90" s="18">
        <f t="shared" si="51"/>
        <v>2410.79</v>
      </c>
      <c r="AH90" s="35">
        <f t="shared" si="52"/>
        <v>218.77416666666667</v>
      </c>
      <c r="AI90" s="10">
        <f t="shared" si="49"/>
        <v>-0.7814168670769983</v>
      </c>
      <c r="AJ90" s="11">
        <v>214.5</v>
      </c>
      <c r="AK90" s="11">
        <v>981.32</v>
      </c>
      <c r="AL90" s="3"/>
    </row>
    <row r="91" spans="1:38" ht="15.75">
      <c r="A91" s="12" t="s">
        <v>164</v>
      </c>
      <c r="B91" s="6"/>
      <c r="C91" s="12" t="s">
        <v>564</v>
      </c>
      <c r="D91" s="6"/>
      <c r="E91" s="6"/>
      <c r="F91" s="6"/>
      <c r="G91" s="34">
        <f t="shared" si="53"/>
        <v>0.01820388349514568</v>
      </c>
      <c r="H91" s="11">
        <v>4195</v>
      </c>
      <c r="I91" s="18">
        <f>+H91-L91</f>
        <v>75</v>
      </c>
      <c r="J91" s="35">
        <f>+H91/12</f>
        <v>349.5833333333333</v>
      </c>
      <c r="K91" s="34"/>
      <c r="L91" s="11">
        <v>4120</v>
      </c>
      <c r="M91" s="18"/>
      <c r="N91" s="35">
        <f t="shared" si="34"/>
        <v>343.3333333333333</v>
      </c>
      <c r="O91" s="34"/>
      <c r="P91" s="11"/>
      <c r="Q91" s="18"/>
      <c r="R91" s="35"/>
      <c r="S91" s="34"/>
      <c r="T91" s="11"/>
      <c r="U91" s="18"/>
      <c r="V91" s="35"/>
      <c r="W91" s="34"/>
      <c r="X91" s="11"/>
      <c r="Y91" s="18"/>
      <c r="Z91" s="35"/>
      <c r="AA91" s="34"/>
      <c r="AB91" s="11"/>
      <c r="AC91" s="18"/>
      <c r="AD91" s="35"/>
      <c r="AE91" s="34"/>
      <c r="AF91" s="11"/>
      <c r="AG91" s="18"/>
      <c r="AH91" s="35"/>
      <c r="AI91" s="10"/>
      <c r="AJ91" s="11"/>
      <c r="AK91" s="11"/>
      <c r="AL91" s="3"/>
    </row>
    <row r="92" spans="1:38" ht="15.75">
      <c r="A92" s="12" t="s">
        <v>164</v>
      </c>
      <c r="B92" s="6"/>
      <c r="C92" s="12" t="s">
        <v>26</v>
      </c>
      <c r="D92" s="6"/>
      <c r="E92" s="6"/>
      <c r="F92" s="6"/>
      <c r="G92" s="34">
        <f t="shared" si="53"/>
        <v>0.1287839917906619</v>
      </c>
      <c r="H92" s="11">
        <v>1100</v>
      </c>
      <c r="I92" s="18">
        <f t="shared" si="41"/>
        <v>125.5</v>
      </c>
      <c r="J92" s="35">
        <f t="shared" si="40"/>
        <v>91.66666666666667</v>
      </c>
      <c r="K92" s="34">
        <f t="shared" si="54"/>
        <v>-0.19296066252587996</v>
      </c>
      <c r="L92" s="11">
        <f>5094.5-4120</f>
        <v>974.5</v>
      </c>
      <c r="M92" s="18">
        <f t="shared" si="42"/>
        <v>-233</v>
      </c>
      <c r="N92" s="35">
        <f t="shared" si="34"/>
        <v>81.20833333333333</v>
      </c>
      <c r="O92" s="34">
        <f t="shared" si="55"/>
        <v>2.3918539325842696</v>
      </c>
      <c r="P92" s="11">
        <v>1207.5</v>
      </c>
      <c r="Q92" s="18">
        <f t="shared" si="43"/>
        <v>851.5</v>
      </c>
      <c r="R92" s="35">
        <f t="shared" si="35"/>
        <v>100.625</v>
      </c>
      <c r="S92" s="34">
        <f t="shared" si="56"/>
        <v>-0.268993839835729</v>
      </c>
      <c r="T92" s="11">
        <f>186+170</f>
        <v>356</v>
      </c>
      <c r="U92" s="18">
        <f t="shared" si="44"/>
        <v>-131</v>
      </c>
      <c r="V92" s="35">
        <f t="shared" si="36"/>
        <v>29.666666666666668</v>
      </c>
      <c r="W92" s="34">
        <f t="shared" si="45"/>
        <v>244.95959595959596</v>
      </c>
      <c r="X92" s="11">
        <v>487</v>
      </c>
      <c r="Y92" s="18">
        <f t="shared" si="46"/>
        <v>485.02</v>
      </c>
      <c r="Z92" s="35">
        <f t="shared" si="50"/>
        <v>40.583333333333336</v>
      </c>
      <c r="AA92" s="34" t="e">
        <f>AB92/AF92-1</f>
        <v>#DIV/0!</v>
      </c>
      <c r="AB92" s="11">
        <v>1.98</v>
      </c>
      <c r="AC92" s="18">
        <f t="shared" si="38"/>
        <v>1.98</v>
      </c>
      <c r="AD92" s="35">
        <f t="shared" si="39"/>
        <v>0.165</v>
      </c>
      <c r="AE92" s="34">
        <f t="shared" si="57"/>
        <v>-1</v>
      </c>
      <c r="AF92" s="11"/>
      <c r="AG92" s="18">
        <f t="shared" si="51"/>
        <v>-6090.63</v>
      </c>
      <c r="AH92" s="35">
        <f t="shared" si="52"/>
        <v>0</v>
      </c>
      <c r="AI92" s="13"/>
      <c r="AJ92" s="11">
        <v>6090.63</v>
      </c>
      <c r="AK92" s="11"/>
      <c r="AL92" s="3"/>
    </row>
    <row r="93" spans="1:38" s="20" customFormat="1" ht="15.75">
      <c r="A93" s="15"/>
      <c r="B93" s="16" t="s">
        <v>165</v>
      </c>
      <c r="C93" s="15"/>
      <c r="D93" s="16" t="s">
        <v>166</v>
      </c>
      <c r="E93" s="6"/>
      <c r="F93" s="6"/>
      <c r="G93" s="32">
        <f t="shared" si="53"/>
        <v>1.179012191465974</v>
      </c>
      <c r="H93" s="18">
        <f>SUM(H94:H98)</f>
        <v>3488.8599999999997</v>
      </c>
      <c r="I93" s="18">
        <f t="shared" si="41"/>
        <v>1887.7399999999998</v>
      </c>
      <c r="J93" s="33">
        <f t="shared" si="40"/>
        <v>290.7383333333333</v>
      </c>
      <c r="K93" s="32">
        <f t="shared" si="54"/>
        <v>-0.22841680681987941</v>
      </c>
      <c r="L93" s="18">
        <f>SUM(L94:L98)</f>
        <v>1601.12</v>
      </c>
      <c r="M93" s="18">
        <f t="shared" si="42"/>
        <v>-473.9899999999998</v>
      </c>
      <c r="N93" s="33">
        <f t="shared" si="34"/>
        <v>133.42666666666665</v>
      </c>
      <c r="O93" s="32">
        <f t="shared" si="55"/>
        <v>0.13348154298261883</v>
      </c>
      <c r="P93" s="18">
        <f>SUM(P94:P98)</f>
        <v>2075.1099999999997</v>
      </c>
      <c r="Q93" s="18">
        <f t="shared" si="43"/>
        <v>244.36999999999966</v>
      </c>
      <c r="R93" s="33">
        <f t="shared" si="35"/>
        <v>172.92583333333332</v>
      </c>
      <c r="S93" s="32">
        <f t="shared" si="56"/>
        <v>-0.23368898674357363</v>
      </c>
      <c r="T93" s="18">
        <f>SUM(T94:T98)</f>
        <v>1830.74</v>
      </c>
      <c r="U93" s="18">
        <f t="shared" si="44"/>
        <v>-558.2899999999997</v>
      </c>
      <c r="V93" s="33">
        <f t="shared" si="36"/>
        <v>152.56166666666667</v>
      </c>
      <c r="W93" s="32">
        <f t="shared" si="45"/>
        <v>-0.4117862858549798</v>
      </c>
      <c r="X93" s="18">
        <f>SUM(X94:X98)</f>
        <v>2389.0299999999997</v>
      </c>
      <c r="Y93" s="18">
        <f t="shared" si="46"/>
        <v>-1672.4700000000003</v>
      </c>
      <c r="Z93" s="33">
        <f t="shared" si="50"/>
        <v>199.0858333333333</v>
      </c>
      <c r="AA93" s="32">
        <f>AB93/AF93-1</f>
        <v>0.6278557114228458</v>
      </c>
      <c r="AB93" s="18">
        <f>SUM(AB94:AB98)</f>
        <v>4061.5</v>
      </c>
      <c r="AC93" s="18">
        <f t="shared" si="38"/>
        <v>1566.5</v>
      </c>
      <c r="AD93" s="33">
        <f t="shared" si="39"/>
        <v>338.4583333333333</v>
      </c>
      <c r="AE93" s="32">
        <f t="shared" si="57"/>
        <v>1.7985283890795705</v>
      </c>
      <c r="AF93" s="18">
        <f>SUM(AF94:AF98)</f>
        <v>2495</v>
      </c>
      <c r="AG93" s="18">
        <f t="shared" si="51"/>
        <v>1603.46</v>
      </c>
      <c r="AH93" s="33">
        <f t="shared" si="52"/>
        <v>207.91666666666666</v>
      </c>
      <c r="AI93" s="17">
        <f t="shared" si="49"/>
        <v>0.2476594315462446</v>
      </c>
      <c r="AJ93" s="18">
        <f>SUM(AJ94:AJ98)</f>
        <v>891.54</v>
      </c>
      <c r="AK93" s="18">
        <f>SUM(AK94:AK98)</f>
        <v>714.5699999999999</v>
      </c>
      <c r="AL93" s="19">
        <f>SUM(AL94:AL98)</f>
        <v>0</v>
      </c>
    </row>
    <row r="94" spans="1:38" ht="15.75">
      <c r="A94" s="12" t="s">
        <v>167</v>
      </c>
      <c r="B94" s="6"/>
      <c r="C94" s="12" t="s">
        <v>168</v>
      </c>
      <c r="D94" s="6"/>
      <c r="E94" s="6" t="s">
        <v>167</v>
      </c>
      <c r="F94" s="6">
        <v>1060</v>
      </c>
      <c r="G94" s="34">
        <f t="shared" si="53"/>
        <v>0.20157068062827221</v>
      </c>
      <c r="H94" s="11">
        <v>229.5</v>
      </c>
      <c r="I94" s="18">
        <f t="shared" si="41"/>
        <v>38.5</v>
      </c>
      <c r="J94" s="35">
        <f t="shared" si="40"/>
        <v>19.125</v>
      </c>
      <c r="K94" s="34">
        <f t="shared" si="54"/>
        <v>-0.5707865168539326</v>
      </c>
      <c r="L94" s="11">
        <v>191</v>
      </c>
      <c r="M94" s="18">
        <f t="shared" si="42"/>
        <v>-254</v>
      </c>
      <c r="N94" s="35">
        <f t="shared" si="34"/>
        <v>15.916666666666666</v>
      </c>
      <c r="O94" s="34">
        <f t="shared" si="55"/>
        <v>-0.27935222672064774</v>
      </c>
      <c r="P94" s="11">
        <v>445</v>
      </c>
      <c r="Q94" s="18">
        <f t="shared" si="43"/>
        <v>-172.5</v>
      </c>
      <c r="R94" s="35">
        <f t="shared" si="35"/>
        <v>37.083333333333336</v>
      </c>
      <c r="S94" s="34">
        <f t="shared" si="56"/>
        <v>-0.5600285001781261</v>
      </c>
      <c r="T94" s="11">
        <v>617.5</v>
      </c>
      <c r="U94" s="18">
        <f t="shared" si="44"/>
        <v>-786</v>
      </c>
      <c r="V94" s="35">
        <f t="shared" si="36"/>
        <v>51.458333333333336</v>
      </c>
      <c r="W94" s="34">
        <f t="shared" si="45"/>
        <v>0.08798449612403103</v>
      </c>
      <c r="X94" s="11">
        <v>1403.5</v>
      </c>
      <c r="Y94" s="18">
        <f t="shared" si="46"/>
        <v>113.5</v>
      </c>
      <c r="Z94" s="35">
        <f t="shared" si="50"/>
        <v>116.95833333333333</v>
      </c>
      <c r="AA94" s="34"/>
      <c r="AB94" s="11">
        <v>1290</v>
      </c>
      <c r="AC94" s="18">
        <f t="shared" si="38"/>
        <v>230</v>
      </c>
      <c r="AD94" s="35">
        <f t="shared" si="39"/>
        <v>107.5</v>
      </c>
      <c r="AE94" s="34"/>
      <c r="AF94" s="11">
        <v>1060</v>
      </c>
      <c r="AG94" s="18">
        <f t="shared" si="51"/>
        <v>1060</v>
      </c>
      <c r="AH94" s="35">
        <f t="shared" si="52"/>
        <v>88.33333333333333</v>
      </c>
      <c r="AI94" s="10">
        <f t="shared" si="49"/>
        <v>-1</v>
      </c>
      <c r="AJ94" s="11"/>
      <c r="AK94" s="11">
        <v>568</v>
      </c>
      <c r="AL94" s="3"/>
    </row>
    <row r="95" spans="1:38" ht="15.75">
      <c r="A95" s="12" t="s">
        <v>169</v>
      </c>
      <c r="B95" s="6"/>
      <c r="C95" s="12" t="s">
        <v>170</v>
      </c>
      <c r="D95" s="6"/>
      <c r="E95" s="6" t="s">
        <v>169</v>
      </c>
      <c r="F95" s="6">
        <v>1075</v>
      </c>
      <c r="G95" s="34">
        <f t="shared" si="53"/>
        <v>1.3114061214648398</v>
      </c>
      <c r="H95" s="11">
        <f>3067.91+191.45</f>
        <v>3259.3599999999997</v>
      </c>
      <c r="I95" s="18">
        <f t="shared" si="41"/>
        <v>1849.2399999999998</v>
      </c>
      <c r="J95" s="35">
        <f t="shared" si="40"/>
        <v>271.6133333333333</v>
      </c>
      <c r="K95" s="34">
        <f t="shared" si="54"/>
        <v>-0.13495408285330435</v>
      </c>
      <c r="L95" s="11">
        <v>1410.12</v>
      </c>
      <c r="M95" s="18">
        <f t="shared" si="42"/>
        <v>-219.99</v>
      </c>
      <c r="N95" s="35">
        <f t="shared" si="34"/>
        <v>117.50999999999999</v>
      </c>
      <c r="O95" s="34">
        <f t="shared" si="55"/>
        <v>0.6923196711100037</v>
      </c>
      <c r="P95" s="11">
        <v>1630.11</v>
      </c>
      <c r="Q95" s="18">
        <f t="shared" si="43"/>
        <v>666.8699999999999</v>
      </c>
      <c r="R95" s="35">
        <f t="shared" si="35"/>
        <v>135.8425</v>
      </c>
      <c r="S95" s="34">
        <f t="shared" si="56"/>
        <v>0.03402967129699208</v>
      </c>
      <c r="T95" s="11">
        <v>963.24</v>
      </c>
      <c r="U95" s="18">
        <f t="shared" si="44"/>
        <v>31.700000000000045</v>
      </c>
      <c r="V95" s="35">
        <f t="shared" si="36"/>
        <v>80.27</v>
      </c>
      <c r="W95" s="34">
        <f t="shared" si="45"/>
        <v>-0.6416188973954526</v>
      </c>
      <c r="X95" s="11">
        <v>931.54</v>
      </c>
      <c r="Y95" s="18">
        <f t="shared" si="46"/>
        <v>-1667.7600000000002</v>
      </c>
      <c r="Z95" s="35">
        <f t="shared" si="50"/>
        <v>77.62833333333333</v>
      </c>
      <c r="AA95" s="34">
        <f>AB95/AF95-1</f>
        <v>1.4179534883720932</v>
      </c>
      <c r="AB95" s="11">
        <v>2599.3</v>
      </c>
      <c r="AC95" s="18">
        <f t="shared" si="38"/>
        <v>1524.3000000000002</v>
      </c>
      <c r="AD95" s="35">
        <f t="shared" si="39"/>
        <v>216.60833333333335</v>
      </c>
      <c r="AE95" s="34">
        <f t="shared" si="57"/>
        <v>3.1444984193075793</v>
      </c>
      <c r="AF95" s="11">
        <v>1075</v>
      </c>
      <c r="AG95" s="18">
        <f t="shared" si="51"/>
        <v>815.62</v>
      </c>
      <c r="AH95" s="35">
        <f t="shared" si="52"/>
        <v>89.58333333333333</v>
      </c>
      <c r="AI95" s="10">
        <f t="shared" si="49"/>
        <v>30.212996389891693</v>
      </c>
      <c r="AJ95" s="11">
        <v>259.38</v>
      </c>
      <c r="AK95" s="11">
        <v>8.31</v>
      </c>
      <c r="AL95" s="3"/>
    </row>
    <row r="96" spans="1:38" ht="15.75">
      <c r="A96" s="12" t="s">
        <v>171</v>
      </c>
      <c r="B96" s="6"/>
      <c r="C96" s="12" t="s">
        <v>172</v>
      </c>
      <c r="D96" s="6"/>
      <c r="E96" s="6"/>
      <c r="F96" s="6"/>
      <c r="G96" s="34" t="e">
        <f t="shared" si="53"/>
        <v>#DIV/0!</v>
      </c>
      <c r="H96" s="11"/>
      <c r="I96" s="18">
        <f t="shared" si="41"/>
        <v>0</v>
      </c>
      <c r="J96" s="35">
        <f t="shared" si="40"/>
        <v>0</v>
      </c>
      <c r="K96" s="34" t="e">
        <f t="shared" si="54"/>
        <v>#DIV/0!</v>
      </c>
      <c r="L96" s="11"/>
      <c r="M96" s="18">
        <f t="shared" si="42"/>
        <v>0</v>
      </c>
      <c r="N96" s="35">
        <f t="shared" si="34"/>
        <v>0</v>
      </c>
      <c r="O96" s="34">
        <f t="shared" si="55"/>
        <v>-1</v>
      </c>
      <c r="P96" s="11"/>
      <c r="Q96" s="18">
        <f t="shared" si="43"/>
        <v>-250</v>
      </c>
      <c r="R96" s="35">
        <f t="shared" si="35"/>
        <v>0</v>
      </c>
      <c r="S96" s="34" t="e">
        <f t="shared" si="56"/>
        <v>#DIV/0!</v>
      </c>
      <c r="T96" s="11">
        <v>250</v>
      </c>
      <c r="U96" s="18">
        <f t="shared" si="44"/>
        <v>250</v>
      </c>
      <c r="V96" s="35">
        <f t="shared" si="36"/>
        <v>20.833333333333332</v>
      </c>
      <c r="W96" s="34">
        <f t="shared" si="45"/>
        <v>-1</v>
      </c>
      <c r="X96" s="11"/>
      <c r="Y96" s="18">
        <f t="shared" si="46"/>
        <v>-85</v>
      </c>
      <c r="Z96" s="35">
        <f t="shared" si="50"/>
        <v>0</v>
      </c>
      <c r="AA96" s="34" t="e">
        <f>AB96/AF96-1</f>
        <v>#DIV/0!</v>
      </c>
      <c r="AB96" s="11">
        <v>85</v>
      </c>
      <c r="AC96" s="18">
        <f t="shared" si="38"/>
        <v>85</v>
      </c>
      <c r="AD96" s="35">
        <f t="shared" si="39"/>
        <v>7.083333333333333</v>
      </c>
      <c r="AE96" s="34">
        <f t="shared" si="57"/>
        <v>-1</v>
      </c>
      <c r="AF96" s="11"/>
      <c r="AG96" s="18">
        <f t="shared" si="51"/>
        <v>-405</v>
      </c>
      <c r="AH96" s="35">
        <f t="shared" si="52"/>
        <v>0</v>
      </c>
      <c r="AI96" s="10">
        <f t="shared" si="49"/>
        <v>10.571428571428571</v>
      </c>
      <c r="AJ96" s="11">
        <v>405</v>
      </c>
      <c r="AK96" s="11">
        <v>35</v>
      </c>
      <c r="AL96" s="3"/>
    </row>
    <row r="97" spans="1:38" ht="15.75">
      <c r="A97" s="12" t="s">
        <v>173</v>
      </c>
      <c r="B97" s="6"/>
      <c r="C97" s="12" t="s">
        <v>174</v>
      </c>
      <c r="D97" s="6"/>
      <c r="E97" s="6"/>
      <c r="F97" s="6"/>
      <c r="G97" s="34" t="e">
        <f t="shared" si="53"/>
        <v>#DIV/0!</v>
      </c>
      <c r="H97" s="11"/>
      <c r="I97" s="18">
        <f t="shared" si="41"/>
        <v>0</v>
      </c>
      <c r="J97" s="35">
        <f t="shared" si="40"/>
        <v>0</v>
      </c>
      <c r="K97" s="34" t="e">
        <f t="shared" si="54"/>
        <v>#DIV/0!</v>
      </c>
      <c r="L97" s="11"/>
      <c r="M97" s="18">
        <f t="shared" si="42"/>
        <v>0</v>
      </c>
      <c r="N97" s="35">
        <f t="shared" si="34"/>
        <v>0</v>
      </c>
      <c r="O97" s="34" t="e">
        <f t="shared" si="55"/>
        <v>#DIV/0!</v>
      </c>
      <c r="P97" s="11"/>
      <c r="Q97" s="18">
        <f t="shared" si="43"/>
        <v>0</v>
      </c>
      <c r="R97" s="35">
        <f t="shared" si="35"/>
        <v>0</v>
      </c>
      <c r="S97" s="34">
        <f t="shared" si="56"/>
        <v>-1</v>
      </c>
      <c r="T97" s="11"/>
      <c r="U97" s="18">
        <f t="shared" si="44"/>
        <v>-32.12</v>
      </c>
      <c r="V97" s="35">
        <f t="shared" si="36"/>
        <v>0</v>
      </c>
      <c r="W97" s="34" t="e">
        <f t="shared" si="45"/>
        <v>#DIV/0!</v>
      </c>
      <c r="X97" s="11">
        <v>32.12</v>
      </c>
      <c r="Y97" s="18">
        <f t="shared" si="46"/>
        <v>32.12</v>
      </c>
      <c r="Z97" s="35">
        <f t="shared" si="50"/>
        <v>2.6766666666666663</v>
      </c>
      <c r="AA97" s="34"/>
      <c r="AB97" s="11"/>
      <c r="AC97" s="18">
        <f t="shared" si="38"/>
        <v>0</v>
      </c>
      <c r="AD97" s="35">
        <f t="shared" si="39"/>
        <v>0</v>
      </c>
      <c r="AE97" s="34"/>
      <c r="AF97" s="11"/>
      <c r="AG97" s="18">
        <f t="shared" si="51"/>
        <v>0</v>
      </c>
      <c r="AH97" s="35">
        <f t="shared" si="52"/>
        <v>0</v>
      </c>
      <c r="AI97" s="10"/>
      <c r="AJ97" s="11"/>
      <c r="AK97" s="11"/>
      <c r="AL97" s="3"/>
    </row>
    <row r="98" spans="1:38" ht="15.75">
      <c r="A98" s="12" t="s">
        <v>175</v>
      </c>
      <c r="B98" s="6"/>
      <c r="C98" s="12" t="s">
        <v>26</v>
      </c>
      <c r="D98" s="6"/>
      <c r="E98" s="6" t="s">
        <v>175</v>
      </c>
      <c r="F98" s="6">
        <v>360</v>
      </c>
      <c r="G98" s="34" t="e">
        <f t="shared" si="53"/>
        <v>#DIV/0!</v>
      </c>
      <c r="H98" s="11"/>
      <c r="I98" s="18">
        <f t="shared" si="41"/>
        <v>0</v>
      </c>
      <c r="J98" s="35">
        <f t="shared" si="40"/>
        <v>0</v>
      </c>
      <c r="K98" s="34" t="e">
        <f t="shared" si="54"/>
        <v>#DIV/0!</v>
      </c>
      <c r="L98" s="11"/>
      <c r="M98" s="18">
        <f t="shared" si="42"/>
        <v>0</v>
      </c>
      <c r="N98" s="35">
        <f t="shared" si="34"/>
        <v>0</v>
      </c>
      <c r="O98" s="34" t="e">
        <f t="shared" si="55"/>
        <v>#DIV/0!</v>
      </c>
      <c r="P98" s="11">
        <f>546-546</f>
        <v>0</v>
      </c>
      <c r="Q98" s="18">
        <f t="shared" si="43"/>
        <v>0</v>
      </c>
      <c r="R98" s="35">
        <f t="shared" si="35"/>
        <v>0</v>
      </c>
      <c r="S98" s="34">
        <f t="shared" si="56"/>
        <v>-1</v>
      </c>
      <c r="T98" s="11">
        <f>546-546</f>
        <v>0</v>
      </c>
      <c r="U98" s="18">
        <f t="shared" si="44"/>
        <v>-21.87</v>
      </c>
      <c r="V98" s="35">
        <f t="shared" si="36"/>
        <v>0</v>
      </c>
      <c r="W98" s="34">
        <f t="shared" si="45"/>
        <v>-0.749197247706422</v>
      </c>
      <c r="X98" s="11">
        <v>21.87</v>
      </c>
      <c r="Y98" s="18">
        <f t="shared" si="46"/>
        <v>-65.33</v>
      </c>
      <c r="Z98" s="35">
        <f t="shared" si="50"/>
        <v>1.8225</v>
      </c>
      <c r="AA98" s="34">
        <f>AB98/AF98-1</f>
        <v>-0.7577777777777778</v>
      </c>
      <c r="AB98" s="11">
        <v>87.2</v>
      </c>
      <c r="AC98" s="18">
        <f t="shared" si="38"/>
        <v>-272.8</v>
      </c>
      <c r="AD98" s="35">
        <f t="shared" si="39"/>
        <v>7.266666666666667</v>
      </c>
      <c r="AE98" s="34">
        <f aca="true" t="shared" si="58" ref="AE98:AE119">AF98/AJ98-1</f>
        <v>0.5847860538827259</v>
      </c>
      <c r="AF98" s="11">
        <v>360</v>
      </c>
      <c r="AG98" s="18">
        <f t="shared" si="51"/>
        <v>132.84</v>
      </c>
      <c r="AH98" s="35">
        <f t="shared" si="52"/>
        <v>30</v>
      </c>
      <c r="AI98" s="10">
        <f t="shared" si="49"/>
        <v>1.199883788495061</v>
      </c>
      <c r="AJ98" s="11">
        <v>227.16</v>
      </c>
      <c r="AK98" s="11">
        <v>103.26</v>
      </c>
      <c r="AL98" s="3"/>
    </row>
    <row r="99" spans="1:38" s="20" customFormat="1" ht="15.75">
      <c r="A99" s="15"/>
      <c r="B99" s="16" t="s">
        <v>176</v>
      </c>
      <c r="C99" s="15"/>
      <c r="D99" s="16" t="s">
        <v>177</v>
      </c>
      <c r="E99" s="6"/>
      <c r="F99" s="6"/>
      <c r="G99" s="32">
        <f t="shared" si="53"/>
        <v>0.0773106106342647</v>
      </c>
      <c r="H99" s="18">
        <f>SUM(H100:H104)</f>
        <v>14543.23</v>
      </c>
      <c r="I99" s="18">
        <f t="shared" si="41"/>
        <v>1043.6599999999999</v>
      </c>
      <c r="J99" s="33">
        <f t="shared" si="40"/>
        <v>1211.9358333333332</v>
      </c>
      <c r="K99" s="32">
        <f t="shared" si="54"/>
        <v>0.08622573616265261</v>
      </c>
      <c r="L99" s="18">
        <f>SUM(L100:L104)</f>
        <v>13499.57</v>
      </c>
      <c r="M99" s="18">
        <f t="shared" si="42"/>
        <v>1071.6100000000006</v>
      </c>
      <c r="N99" s="33">
        <f t="shared" si="34"/>
        <v>1124.9641666666666</v>
      </c>
      <c r="O99" s="32">
        <f t="shared" si="55"/>
        <v>0.1887472297069155</v>
      </c>
      <c r="P99" s="18">
        <f>SUM(P100:P104)</f>
        <v>12427.96</v>
      </c>
      <c r="Q99" s="18">
        <f t="shared" si="43"/>
        <v>1973.289999999999</v>
      </c>
      <c r="R99" s="33">
        <f t="shared" si="35"/>
        <v>1035.6633333333332</v>
      </c>
      <c r="S99" s="32">
        <f t="shared" si="56"/>
        <v>0.37293544307620796</v>
      </c>
      <c r="T99" s="18">
        <f>SUM(T100:T104)</f>
        <v>10454.67</v>
      </c>
      <c r="U99" s="18">
        <f t="shared" si="44"/>
        <v>2839.84</v>
      </c>
      <c r="V99" s="33">
        <f t="shared" si="36"/>
        <v>871.2225</v>
      </c>
      <c r="W99" s="32">
        <f t="shared" si="45"/>
        <v>-0.7369243472192473</v>
      </c>
      <c r="X99" s="18">
        <f>SUM(X100:X104)</f>
        <v>7614.83</v>
      </c>
      <c r="Y99" s="18">
        <f t="shared" si="46"/>
        <v>-21330.57</v>
      </c>
      <c r="Z99" s="33">
        <f t="shared" si="50"/>
        <v>634.5691666666667</v>
      </c>
      <c r="AA99" s="32">
        <f>AB99/AF99-1</f>
        <v>0.7927932503459185</v>
      </c>
      <c r="AB99" s="18">
        <f>SUM(AB100:AB104)</f>
        <v>28945.399999999998</v>
      </c>
      <c r="AC99" s="18">
        <f t="shared" si="38"/>
        <v>12799.98</v>
      </c>
      <c r="AD99" s="33">
        <f t="shared" si="39"/>
        <v>2412.1166666666663</v>
      </c>
      <c r="AE99" s="32">
        <f t="shared" si="58"/>
        <v>0.3984833195466413</v>
      </c>
      <c r="AF99" s="18">
        <f>SUM(AF100:AF104)</f>
        <v>16145.419999999998</v>
      </c>
      <c r="AG99" s="18">
        <f t="shared" si="51"/>
        <v>4600.4699999999975</v>
      </c>
      <c r="AH99" s="33">
        <f t="shared" si="52"/>
        <v>1345.4516666666666</v>
      </c>
      <c r="AI99" s="17">
        <f t="shared" si="49"/>
        <v>0.7145770122419399</v>
      </c>
      <c r="AJ99" s="18">
        <f>SUM(AJ100:AJ104)</f>
        <v>11544.95</v>
      </c>
      <c r="AK99" s="18">
        <f>SUM(AK100:AK104)</f>
        <v>6733.41</v>
      </c>
      <c r="AL99" s="19">
        <f>SUM(AL100:AL104)</f>
        <v>0</v>
      </c>
    </row>
    <row r="100" spans="1:38" ht="15.75">
      <c r="A100" s="12" t="s">
        <v>178</v>
      </c>
      <c r="B100" s="6"/>
      <c r="C100" s="12" t="s">
        <v>179</v>
      </c>
      <c r="D100" s="6"/>
      <c r="E100" s="6" t="s">
        <v>178</v>
      </c>
      <c r="F100" s="6">
        <v>5007.62</v>
      </c>
      <c r="G100" s="34">
        <f t="shared" si="53"/>
        <v>0.06522856225243534</v>
      </c>
      <c r="H100" s="11">
        <v>4975.15</v>
      </c>
      <c r="I100" s="18">
        <f t="shared" si="41"/>
        <v>304.64999999999964</v>
      </c>
      <c r="J100" s="35">
        <f t="shared" si="40"/>
        <v>414.5958333333333</v>
      </c>
      <c r="K100" s="34">
        <f t="shared" si="54"/>
        <v>-0.10446358893335206</v>
      </c>
      <c r="L100" s="11">
        <v>4670.5</v>
      </c>
      <c r="M100" s="18">
        <f t="shared" si="42"/>
        <v>-544.8100000000004</v>
      </c>
      <c r="N100" s="35">
        <f t="shared" si="34"/>
        <v>389.2083333333333</v>
      </c>
      <c r="O100" s="34">
        <f t="shared" si="55"/>
        <v>-0.24493382886280612</v>
      </c>
      <c r="P100" s="11">
        <v>5215.31</v>
      </c>
      <c r="Q100" s="18">
        <f t="shared" si="43"/>
        <v>-1691.7799999999997</v>
      </c>
      <c r="R100" s="35">
        <f t="shared" si="35"/>
        <v>434.6091666666667</v>
      </c>
      <c r="S100" s="34">
        <f t="shared" si="56"/>
        <v>0.8739578331067901</v>
      </c>
      <c r="T100" s="11">
        <v>6907.09</v>
      </c>
      <c r="U100" s="18">
        <f t="shared" si="44"/>
        <v>3221.26</v>
      </c>
      <c r="V100" s="35">
        <f t="shared" si="36"/>
        <v>575.5908333333333</v>
      </c>
      <c r="W100" s="34">
        <f t="shared" si="45"/>
        <v>-0.40507949318053427</v>
      </c>
      <c r="X100" s="11">
        <v>3685.83</v>
      </c>
      <c r="Y100" s="18">
        <f t="shared" si="46"/>
        <v>-2509.67</v>
      </c>
      <c r="Z100" s="35">
        <f t="shared" si="50"/>
        <v>307.1525</v>
      </c>
      <c r="AA100" s="34">
        <f>AB100/AF100-1</f>
        <v>0.23721448512467003</v>
      </c>
      <c r="AB100" s="11">
        <v>6195.5</v>
      </c>
      <c r="AC100" s="18">
        <f t="shared" si="38"/>
        <v>1187.88</v>
      </c>
      <c r="AD100" s="35">
        <f t="shared" si="39"/>
        <v>516.2916666666666</v>
      </c>
      <c r="AE100" s="34">
        <f t="shared" si="58"/>
        <v>0.14975237579183487</v>
      </c>
      <c r="AF100" s="11">
        <v>5007.62</v>
      </c>
      <c r="AG100" s="18">
        <f t="shared" si="51"/>
        <v>652.2299999999996</v>
      </c>
      <c r="AH100" s="35">
        <f t="shared" si="52"/>
        <v>417.3016666666667</v>
      </c>
      <c r="AI100" s="10">
        <f t="shared" si="49"/>
        <v>0.10162915223885127</v>
      </c>
      <c r="AJ100" s="11">
        <v>4355.39</v>
      </c>
      <c r="AK100" s="11">
        <v>3953.59</v>
      </c>
      <c r="AL100" s="3"/>
    </row>
    <row r="101" spans="1:38" ht="15.75">
      <c r="A101" s="12" t="s">
        <v>180</v>
      </c>
      <c r="B101" s="6"/>
      <c r="C101" s="12" t="s">
        <v>181</v>
      </c>
      <c r="D101" s="6"/>
      <c r="E101" s="6" t="s">
        <v>180</v>
      </c>
      <c r="F101" s="6">
        <v>94.5</v>
      </c>
      <c r="G101" s="36">
        <f t="shared" si="53"/>
        <v>-0.02545837288199304</v>
      </c>
      <c r="H101" s="11">
        <v>1037</v>
      </c>
      <c r="I101" s="18">
        <f t="shared" si="41"/>
        <v>-27.089999999999918</v>
      </c>
      <c r="J101" s="35">
        <f t="shared" si="40"/>
        <v>86.41666666666667</v>
      </c>
      <c r="K101" s="36" t="e">
        <f t="shared" si="54"/>
        <v>#DIV/0!</v>
      </c>
      <c r="L101" s="11">
        <v>1064.09</v>
      </c>
      <c r="M101" s="18">
        <f t="shared" si="42"/>
        <v>1064.09</v>
      </c>
      <c r="N101" s="35">
        <f t="shared" si="34"/>
        <v>88.67416666666666</v>
      </c>
      <c r="O101" s="36">
        <f t="shared" si="55"/>
        <v>-1</v>
      </c>
      <c r="P101" s="11"/>
      <c r="Q101" s="18">
        <f t="shared" si="43"/>
        <v>-190</v>
      </c>
      <c r="R101" s="35">
        <f t="shared" si="35"/>
        <v>0</v>
      </c>
      <c r="S101" s="36" t="e">
        <f t="shared" si="56"/>
        <v>#DIV/0!</v>
      </c>
      <c r="T101" s="11">
        <v>190</v>
      </c>
      <c r="U101" s="18">
        <f t="shared" si="44"/>
        <v>190</v>
      </c>
      <c r="V101" s="35">
        <f t="shared" si="36"/>
        <v>15.833333333333334</v>
      </c>
      <c r="W101" s="36">
        <f t="shared" si="45"/>
        <v>-1</v>
      </c>
      <c r="X101" s="11"/>
      <c r="Y101" s="18">
        <f t="shared" si="46"/>
        <v>-47.95</v>
      </c>
      <c r="Z101" s="35">
        <f t="shared" si="50"/>
        <v>0</v>
      </c>
      <c r="AA101" s="36"/>
      <c r="AB101" s="11">
        <v>47.95</v>
      </c>
      <c r="AC101" s="18">
        <f t="shared" si="38"/>
        <v>-46.55</v>
      </c>
      <c r="AD101" s="35">
        <f t="shared" si="39"/>
        <v>3.9958333333333336</v>
      </c>
      <c r="AE101" s="36"/>
      <c r="AF101" s="11">
        <v>94.5</v>
      </c>
      <c r="AG101" s="18">
        <f t="shared" si="51"/>
        <v>94.5</v>
      </c>
      <c r="AH101" s="35">
        <f t="shared" si="52"/>
        <v>7.875</v>
      </c>
      <c r="AI101" s="10">
        <f t="shared" si="49"/>
        <v>-1</v>
      </c>
      <c r="AJ101" s="11"/>
      <c r="AK101" s="11">
        <v>30.26</v>
      </c>
      <c r="AL101" s="3"/>
    </row>
    <row r="102" spans="1:38" ht="15.75">
      <c r="A102" s="12" t="s">
        <v>182</v>
      </c>
      <c r="B102" s="6"/>
      <c r="C102" s="12" t="s">
        <v>183</v>
      </c>
      <c r="D102" s="6"/>
      <c r="E102" s="6" t="s">
        <v>182</v>
      </c>
      <c r="F102" s="6">
        <v>150</v>
      </c>
      <c r="G102" s="34">
        <f t="shared" si="53"/>
        <v>-0.09195402298850575</v>
      </c>
      <c r="H102" s="11">
        <v>395</v>
      </c>
      <c r="I102" s="18">
        <f t="shared" si="41"/>
        <v>-40</v>
      </c>
      <c r="J102" s="35">
        <f t="shared" si="40"/>
        <v>32.916666666666664</v>
      </c>
      <c r="K102" s="34">
        <f t="shared" si="54"/>
        <v>0.15999999999999992</v>
      </c>
      <c r="L102" s="11">
        <v>435</v>
      </c>
      <c r="M102" s="18">
        <f t="shared" si="42"/>
        <v>60</v>
      </c>
      <c r="N102" s="35">
        <f t="shared" si="34"/>
        <v>36.25</v>
      </c>
      <c r="O102" s="34" t="e">
        <f t="shared" si="55"/>
        <v>#DIV/0!</v>
      </c>
      <c r="P102" s="11">
        <v>375</v>
      </c>
      <c r="Q102" s="18">
        <f t="shared" si="43"/>
        <v>375</v>
      </c>
      <c r="R102" s="35">
        <f t="shared" si="35"/>
        <v>31.25</v>
      </c>
      <c r="S102" s="34" t="e">
        <f t="shared" si="56"/>
        <v>#DIV/0!</v>
      </c>
      <c r="T102" s="11"/>
      <c r="U102" s="18">
        <f t="shared" si="44"/>
        <v>0</v>
      </c>
      <c r="V102" s="35">
        <f t="shared" si="36"/>
        <v>0</v>
      </c>
      <c r="W102" s="34">
        <f t="shared" si="45"/>
        <v>-1</v>
      </c>
      <c r="X102" s="11"/>
      <c r="Y102" s="18">
        <f t="shared" si="46"/>
        <v>-220.15</v>
      </c>
      <c r="Z102" s="35">
        <f t="shared" si="50"/>
        <v>0</v>
      </c>
      <c r="AA102" s="34">
        <f aca="true" t="shared" si="59" ref="AA102:AA119">AB102/AF102-1</f>
        <v>0.4676666666666667</v>
      </c>
      <c r="AB102" s="11">
        <v>220.15</v>
      </c>
      <c r="AC102" s="18">
        <f t="shared" si="38"/>
        <v>70.15</v>
      </c>
      <c r="AD102" s="35">
        <f t="shared" si="39"/>
        <v>18.345833333333335</v>
      </c>
      <c r="AE102" s="34">
        <f t="shared" si="58"/>
        <v>-0.49664429530201337</v>
      </c>
      <c r="AF102" s="11">
        <v>150</v>
      </c>
      <c r="AG102" s="18">
        <f t="shared" si="51"/>
        <v>-148</v>
      </c>
      <c r="AH102" s="35">
        <f t="shared" si="52"/>
        <v>12.5</v>
      </c>
      <c r="AI102" s="13"/>
      <c r="AJ102" s="11">
        <v>298</v>
      </c>
      <c r="AK102" s="11"/>
      <c r="AL102" s="3"/>
    </row>
    <row r="103" spans="1:38" ht="15.75">
      <c r="A103" s="12" t="s">
        <v>184</v>
      </c>
      <c r="B103" s="6"/>
      <c r="C103" s="12" t="s">
        <v>185</v>
      </c>
      <c r="D103" s="6"/>
      <c r="E103" s="6" t="s">
        <v>184</v>
      </c>
      <c r="F103" s="6">
        <v>10893.3</v>
      </c>
      <c r="G103" s="34">
        <f>H103/L103-1</f>
        <v>0.10997301493319234</v>
      </c>
      <c r="H103" s="11">
        <v>8136.08</v>
      </c>
      <c r="I103" s="18">
        <f>+H103-L103</f>
        <v>806.1000000000004</v>
      </c>
      <c r="J103" s="35">
        <f>+H103/12</f>
        <v>678.0066666666667</v>
      </c>
      <c r="K103" s="34">
        <f>L103/P103-1</f>
        <v>0.07200280798227454</v>
      </c>
      <c r="L103" s="11">
        <v>7329.98</v>
      </c>
      <c r="M103" s="18">
        <f>+L103-P103</f>
        <v>492.3299999999999</v>
      </c>
      <c r="N103" s="35">
        <f>+L103/12</f>
        <v>610.8316666666666</v>
      </c>
      <c r="O103" s="34">
        <f>P103/T103-1</f>
        <v>1.0364816326044353</v>
      </c>
      <c r="P103" s="11">
        <v>6837.65</v>
      </c>
      <c r="Q103" s="18">
        <f>+P103-T103</f>
        <v>3480.0699999999997</v>
      </c>
      <c r="R103" s="35">
        <f>+P103/12</f>
        <v>569.8041666666667</v>
      </c>
      <c r="S103" s="34">
        <f>T103/X103-1</f>
        <v>-0.14543649783659962</v>
      </c>
      <c r="T103" s="11">
        <v>3357.58</v>
      </c>
      <c r="U103" s="18">
        <f>+T103-X103</f>
        <v>-571.4200000000001</v>
      </c>
      <c r="V103" s="35">
        <f>+T103/12</f>
        <v>279.79833333333335</v>
      </c>
      <c r="W103" s="34">
        <f>X103/AB103-1</f>
        <v>-0.8252364134544387</v>
      </c>
      <c r="X103" s="11">
        <v>3929</v>
      </c>
      <c r="Y103" s="18">
        <f>+X103-AB103</f>
        <v>-18552.8</v>
      </c>
      <c r="Z103" s="35">
        <f>+X103/12</f>
        <v>327.4166666666667</v>
      </c>
      <c r="AA103" s="34">
        <f>AB103/AF103-1</f>
        <v>1.0638190447339193</v>
      </c>
      <c r="AB103" s="11">
        <v>22481.8</v>
      </c>
      <c r="AC103" s="18">
        <f>+AB103-AF103</f>
        <v>11588.5</v>
      </c>
      <c r="AD103" s="35">
        <f>+AB103/12</f>
        <v>1873.4833333333333</v>
      </c>
      <c r="AE103" s="34">
        <f>AF103/AJ103-1</f>
        <v>0.5806725908212362</v>
      </c>
      <c r="AF103" s="11">
        <v>10893.3</v>
      </c>
      <c r="AG103" s="18">
        <f>+AF103-AJ103</f>
        <v>4001.739999999999</v>
      </c>
      <c r="AH103" s="35">
        <f>+AF103/12</f>
        <v>907.775</v>
      </c>
      <c r="AI103" s="10">
        <f>+AJ103/AK103-1</f>
        <v>1.5064228458371525</v>
      </c>
      <c r="AJ103" s="11">
        <v>6891.56</v>
      </c>
      <c r="AK103" s="11">
        <v>2749.56</v>
      </c>
      <c r="AL103" s="3"/>
    </row>
    <row r="104" spans="1:38" ht="15.75">
      <c r="A104" s="12">
        <v>20305</v>
      </c>
      <c r="B104" s="6"/>
      <c r="C104" s="12" t="s">
        <v>566</v>
      </c>
      <c r="D104" s="6"/>
      <c r="E104" s="6" t="s">
        <v>184</v>
      </c>
      <c r="F104" s="6">
        <v>10893.3</v>
      </c>
      <c r="G104" s="34" t="e">
        <f t="shared" si="53"/>
        <v>#DIV/0!</v>
      </c>
      <c r="H104" s="11"/>
      <c r="I104" s="18">
        <f t="shared" si="41"/>
        <v>0</v>
      </c>
      <c r="J104" s="35">
        <f t="shared" si="40"/>
        <v>0</v>
      </c>
      <c r="K104" s="34" t="e">
        <f t="shared" si="54"/>
        <v>#DIV/0!</v>
      </c>
      <c r="L104" s="11"/>
      <c r="M104" s="18">
        <f t="shared" si="42"/>
        <v>0</v>
      </c>
      <c r="N104" s="35">
        <f t="shared" si="34"/>
        <v>0</v>
      </c>
      <c r="O104" s="34" t="e">
        <f t="shared" si="55"/>
        <v>#DIV/0!</v>
      </c>
      <c r="P104" s="11"/>
      <c r="Q104" s="18">
        <f t="shared" si="43"/>
        <v>0</v>
      </c>
      <c r="R104" s="35">
        <f t="shared" si="35"/>
        <v>0</v>
      </c>
      <c r="S104" s="34" t="e">
        <f t="shared" si="56"/>
        <v>#DIV/0!</v>
      </c>
      <c r="T104" s="11"/>
      <c r="U104" s="18">
        <f t="shared" si="44"/>
        <v>0</v>
      </c>
      <c r="V104" s="35">
        <f t="shared" si="36"/>
        <v>0</v>
      </c>
      <c r="W104" s="34" t="e">
        <f t="shared" si="45"/>
        <v>#DIV/0!</v>
      </c>
      <c r="X104" s="11"/>
      <c r="Y104" s="18">
        <f t="shared" si="46"/>
        <v>0</v>
      </c>
      <c r="Z104" s="35">
        <f t="shared" si="50"/>
        <v>0</v>
      </c>
      <c r="AA104" s="34" t="e">
        <f t="shared" si="59"/>
        <v>#DIV/0!</v>
      </c>
      <c r="AB104" s="11"/>
      <c r="AC104" s="18">
        <f t="shared" si="38"/>
        <v>0</v>
      </c>
      <c r="AD104" s="35">
        <f t="shared" si="39"/>
        <v>0</v>
      </c>
      <c r="AE104" s="34" t="e">
        <f t="shared" si="58"/>
        <v>#DIV/0!</v>
      </c>
      <c r="AF104" s="11"/>
      <c r="AG104" s="18">
        <f t="shared" si="51"/>
        <v>0</v>
      </c>
      <c r="AH104" s="35">
        <f t="shared" si="52"/>
        <v>0</v>
      </c>
      <c r="AI104" s="10" t="e">
        <f t="shared" si="49"/>
        <v>#DIV/0!</v>
      </c>
      <c r="AJ104" s="11"/>
      <c r="AK104" s="11"/>
      <c r="AL104" s="3"/>
    </row>
    <row r="105" spans="1:38" s="20" customFormat="1" ht="15.75">
      <c r="A105" s="15"/>
      <c r="B105" s="16" t="s">
        <v>186</v>
      </c>
      <c r="C105" s="15"/>
      <c r="D105" s="16" t="s">
        <v>187</v>
      </c>
      <c r="E105" s="6"/>
      <c r="F105" s="6"/>
      <c r="G105" s="32">
        <f t="shared" si="53"/>
        <v>0.054630336065592866</v>
      </c>
      <c r="H105" s="18">
        <f>+H106+H114+H117+H118+H119+H120+H121+H122+H123+H124</f>
        <v>82136.53</v>
      </c>
      <c r="I105" s="18">
        <f t="shared" si="41"/>
        <v>4254.710000000006</v>
      </c>
      <c r="J105" s="33">
        <f t="shared" si="40"/>
        <v>6844.7108333333335</v>
      </c>
      <c r="K105" s="32">
        <f t="shared" si="54"/>
        <v>0.07616375104221551</v>
      </c>
      <c r="L105" s="18">
        <f>+L106+L114+L117+L118+L119+L120+L121+L122+L123+L124</f>
        <v>77881.81999999999</v>
      </c>
      <c r="M105" s="18">
        <f t="shared" si="42"/>
        <v>5511.959999999992</v>
      </c>
      <c r="N105" s="33">
        <f t="shared" si="34"/>
        <v>6490.151666666666</v>
      </c>
      <c r="O105" s="32">
        <f t="shared" si="55"/>
        <v>0.022174896341632166</v>
      </c>
      <c r="P105" s="18">
        <f>+P106+P114+P117+P118+P119+P120+P121+P122+P123+P124</f>
        <v>72369.86</v>
      </c>
      <c r="Q105" s="18">
        <f t="shared" si="43"/>
        <v>1569.979999999996</v>
      </c>
      <c r="R105" s="33">
        <f t="shared" si="35"/>
        <v>6030.821666666667</v>
      </c>
      <c r="S105" s="32">
        <f t="shared" si="56"/>
        <v>0.0237791918550998</v>
      </c>
      <c r="T105" s="18">
        <f>+T106+T114+T117+T118+T119+T120+T121+T122+T123+T124</f>
        <v>70799.88</v>
      </c>
      <c r="U105" s="18">
        <f t="shared" si="44"/>
        <v>1644.4600000000064</v>
      </c>
      <c r="V105" s="33">
        <f t="shared" si="36"/>
        <v>5899.990000000001</v>
      </c>
      <c r="W105" s="32">
        <f t="shared" si="45"/>
        <v>-0.02802552712306039</v>
      </c>
      <c r="X105" s="18">
        <f>+X106+X114+X117+X118+X119+X120+X121+X122+X123+X124</f>
        <v>69155.42</v>
      </c>
      <c r="Y105" s="18">
        <f t="shared" si="46"/>
        <v>-1994.0000000000146</v>
      </c>
      <c r="Z105" s="33">
        <f t="shared" si="50"/>
        <v>5762.951666666667</v>
      </c>
      <c r="AA105" s="32">
        <f t="shared" si="59"/>
        <v>-0.11336983147409463</v>
      </c>
      <c r="AB105" s="18">
        <f>+AB106+AB114+AB117+AB118+AB119+AB120+AB121+AB122+AB123+AB124</f>
        <v>71149.42000000001</v>
      </c>
      <c r="AC105" s="18">
        <f t="shared" si="38"/>
        <v>-9097.589999999982</v>
      </c>
      <c r="AD105" s="33">
        <f t="shared" si="39"/>
        <v>5929.118333333335</v>
      </c>
      <c r="AE105" s="32">
        <f t="shared" si="58"/>
        <v>0.11812150260507615</v>
      </c>
      <c r="AF105" s="18">
        <f>+AF106+AF114+AF117+AF118+AF119+AF120+AF121+AF122+AF123+AF124</f>
        <v>80247.01</v>
      </c>
      <c r="AG105" s="18">
        <f t="shared" si="51"/>
        <v>8477.51999999999</v>
      </c>
      <c r="AH105" s="33">
        <f t="shared" si="52"/>
        <v>6687.250833333333</v>
      </c>
      <c r="AI105" s="17">
        <f t="shared" si="49"/>
        <v>0.02687228104765471</v>
      </c>
      <c r="AJ105" s="18">
        <f>+AJ106+AJ114+AJ117+AJ118+AJ119+AJ120+AJ121+AJ122+AJ123+AJ124</f>
        <v>71769.49</v>
      </c>
      <c r="AK105" s="18">
        <f>+AK106+AK114+AK117+AK118+AK119+AK120+AK121+AK122+AK123+AK124</f>
        <v>69891.35</v>
      </c>
      <c r="AL105" s="19">
        <f>+AL106+AL114+AL117+AL118+AL119+AL120+AL121+AL122+AL123+AL124</f>
        <v>0</v>
      </c>
    </row>
    <row r="106" spans="1:38" ht="15.75">
      <c r="A106" s="6"/>
      <c r="B106" s="9" t="s">
        <v>188</v>
      </c>
      <c r="C106" s="6"/>
      <c r="D106" s="9" t="s">
        <v>189</v>
      </c>
      <c r="E106" s="6"/>
      <c r="F106" s="6"/>
      <c r="G106" s="34">
        <f t="shared" si="53"/>
        <v>0.0738335161823862</v>
      </c>
      <c r="H106" s="11">
        <f>SUM(H107:H113)</f>
        <v>43810.99</v>
      </c>
      <c r="I106" s="18">
        <f t="shared" si="41"/>
        <v>3012.3099999999977</v>
      </c>
      <c r="J106" s="35">
        <f t="shared" si="40"/>
        <v>3650.915833333333</v>
      </c>
      <c r="K106" s="34">
        <f t="shared" si="54"/>
        <v>0.08443503625266668</v>
      </c>
      <c r="L106" s="11">
        <f>SUM(L107:L113)</f>
        <v>40798.68</v>
      </c>
      <c r="M106" s="18">
        <f t="shared" si="42"/>
        <v>3176.6200000000026</v>
      </c>
      <c r="N106" s="35">
        <f t="shared" si="34"/>
        <v>3399.89</v>
      </c>
      <c r="O106" s="34">
        <f t="shared" si="55"/>
        <v>0.06502767448285862</v>
      </c>
      <c r="P106" s="11">
        <f>SUM(P107:P113)</f>
        <v>37622.06</v>
      </c>
      <c r="Q106" s="18">
        <f t="shared" si="43"/>
        <v>2297.0999999999985</v>
      </c>
      <c r="R106" s="35">
        <f t="shared" si="35"/>
        <v>3135.1716666666666</v>
      </c>
      <c r="S106" s="34">
        <f t="shared" si="56"/>
        <v>0.0009844087115356004</v>
      </c>
      <c r="T106" s="11">
        <f>SUM(T107:T113)</f>
        <v>35324.96</v>
      </c>
      <c r="U106" s="18">
        <f t="shared" si="44"/>
        <v>34.74000000000524</v>
      </c>
      <c r="V106" s="35">
        <f t="shared" si="36"/>
        <v>2943.7466666666664</v>
      </c>
      <c r="W106" s="34">
        <f t="shared" si="45"/>
        <v>-0.04504496703409733</v>
      </c>
      <c r="X106" s="11">
        <f>SUM(X107:X113)</f>
        <v>35290.219999999994</v>
      </c>
      <c r="Y106" s="18">
        <f t="shared" si="46"/>
        <v>-1664.630000000012</v>
      </c>
      <c r="Z106" s="35">
        <f t="shared" si="50"/>
        <v>2940.851666666666</v>
      </c>
      <c r="AA106" s="34">
        <f t="shared" si="59"/>
        <v>-0.01393333463190638</v>
      </c>
      <c r="AB106" s="11">
        <f>SUM(AB107:AB113)</f>
        <v>36954.850000000006</v>
      </c>
      <c r="AC106" s="18">
        <f t="shared" si="38"/>
        <v>-522.179999999993</v>
      </c>
      <c r="AD106" s="35">
        <f t="shared" si="39"/>
        <v>3079.5708333333337</v>
      </c>
      <c r="AE106" s="34">
        <f t="shared" si="58"/>
        <v>-0.023639030439449482</v>
      </c>
      <c r="AF106" s="11">
        <f>SUM(AF107:AF113)</f>
        <v>37477.03</v>
      </c>
      <c r="AG106" s="18">
        <f t="shared" si="51"/>
        <v>-907.3700000000026</v>
      </c>
      <c r="AH106" s="35">
        <f t="shared" si="52"/>
        <v>3123.085833333333</v>
      </c>
      <c r="AI106" s="10">
        <f t="shared" si="49"/>
        <v>0.016308854694554453</v>
      </c>
      <c r="AJ106" s="11">
        <f>SUM(AJ107:AJ113)</f>
        <v>38384.4</v>
      </c>
      <c r="AK106" s="11">
        <f>SUM(AK107:AK113)</f>
        <v>37768.44</v>
      </c>
      <c r="AL106" s="3">
        <f>SUM(AL107:AL113)</f>
        <v>0</v>
      </c>
    </row>
    <row r="107" spans="1:38" ht="15.75">
      <c r="A107" s="12" t="s">
        <v>190</v>
      </c>
      <c r="B107" s="6"/>
      <c r="C107" s="12" t="s">
        <v>191</v>
      </c>
      <c r="D107" s="6"/>
      <c r="E107" s="6" t="s">
        <v>190</v>
      </c>
      <c r="F107" s="6">
        <v>6016.4</v>
      </c>
      <c r="G107" s="34" t="e">
        <f t="shared" si="53"/>
        <v>#DIV/0!</v>
      </c>
      <c r="H107" s="11"/>
      <c r="I107" s="18">
        <f t="shared" si="41"/>
        <v>0</v>
      </c>
      <c r="J107" s="35">
        <f t="shared" si="40"/>
        <v>0</v>
      </c>
      <c r="K107" s="34" t="e">
        <f t="shared" si="54"/>
        <v>#DIV/0!</v>
      </c>
      <c r="L107" s="11"/>
      <c r="M107" s="18">
        <f t="shared" si="42"/>
        <v>0</v>
      </c>
      <c r="N107" s="35">
        <f t="shared" si="34"/>
        <v>0</v>
      </c>
      <c r="O107" s="34" t="e">
        <f t="shared" si="55"/>
        <v>#DIV/0!</v>
      </c>
      <c r="P107" s="11"/>
      <c r="Q107" s="18">
        <f t="shared" si="43"/>
        <v>0</v>
      </c>
      <c r="R107" s="35">
        <f t="shared" si="35"/>
        <v>0</v>
      </c>
      <c r="S107" s="34" t="e">
        <f t="shared" si="56"/>
        <v>#DIV/0!</v>
      </c>
      <c r="T107" s="11"/>
      <c r="U107" s="18">
        <f t="shared" si="44"/>
        <v>0</v>
      </c>
      <c r="V107" s="35">
        <f t="shared" si="36"/>
        <v>0</v>
      </c>
      <c r="W107" s="34">
        <f t="shared" si="45"/>
        <v>-1</v>
      </c>
      <c r="X107" s="11"/>
      <c r="Y107" s="18">
        <f t="shared" si="46"/>
        <v>-1388.4</v>
      </c>
      <c r="Z107" s="35">
        <f t="shared" si="50"/>
        <v>0</v>
      </c>
      <c r="AA107" s="34">
        <f t="shared" si="59"/>
        <v>-0.7692307692307692</v>
      </c>
      <c r="AB107" s="11">
        <v>1388.4</v>
      </c>
      <c r="AC107" s="18">
        <f t="shared" si="38"/>
        <v>-4628</v>
      </c>
      <c r="AD107" s="35">
        <f t="shared" si="39"/>
        <v>115.7</v>
      </c>
      <c r="AE107" s="34">
        <f t="shared" si="58"/>
        <v>0.040000000000000036</v>
      </c>
      <c r="AF107" s="11">
        <v>6016.4</v>
      </c>
      <c r="AG107" s="18">
        <f t="shared" si="51"/>
        <v>231.39999999999964</v>
      </c>
      <c r="AH107" s="35">
        <f t="shared" si="52"/>
        <v>501.3666666666666</v>
      </c>
      <c r="AI107" s="10">
        <f t="shared" si="49"/>
        <v>-0.0714285714285714</v>
      </c>
      <c r="AJ107" s="11">
        <v>5785</v>
      </c>
      <c r="AK107" s="11">
        <v>6230</v>
      </c>
      <c r="AL107" s="3"/>
    </row>
    <row r="108" spans="1:38" ht="15.75">
      <c r="A108" s="12" t="s">
        <v>192</v>
      </c>
      <c r="B108" s="6"/>
      <c r="C108" s="12" t="s">
        <v>193</v>
      </c>
      <c r="D108" s="6"/>
      <c r="E108" s="6" t="s">
        <v>192</v>
      </c>
      <c r="F108" s="6">
        <v>5611.45</v>
      </c>
      <c r="G108" s="34">
        <f t="shared" si="53"/>
        <v>-0.21516551076652835</v>
      </c>
      <c r="H108" s="11">
        <v>5182.89</v>
      </c>
      <c r="I108" s="18">
        <f t="shared" si="41"/>
        <v>-1420.9099999999999</v>
      </c>
      <c r="J108" s="35">
        <f t="shared" si="40"/>
        <v>431.9075</v>
      </c>
      <c r="K108" s="34">
        <f t="shared" si="54"/>
        <v>0.04950495049504955</v>
      </c>
      <c r="L108" s="11">
        <v>6603.8</v>
      </c>
      <c r="M108" s="18">
        <f t="shared" si="42"/>
        <v>311.5</v>
      </c>
      <c r="N108" s="35">
        <f t="shared" si="34"/>
        <v>550.3166666666667</v>
      </c>
      <c r="O108" s="34">
        <f t="shared" si="55"/>
        <v>0.02911208151382816</v>
      </c>
      <c r="P108" s="11">
        <v>6292.3</v>
      </c>
      <c r="Q108" s="18">
        <f t="shared" si="43"/>
        <v>178</v>
      </c>
      <c r="R108" s="35">
        <f t="shared" si="35"/>
        <v>524.3583333333333</v>
      </c>
      <c r="S108" s="34">
        <f t="shared" si="56"/>
        <v>0.01178203240058906</v>
      </c>
      <c r="T108" s="11">
        <v>6114.3</v>
      </c>
      <c r="U108" s="18">
        <f t="shared" si="44"/>
        <v>71.19999999999982</v>
      </c>
      <c r="V108" s="35">
        <f t="shared" si="36"/>
        <v>509.52500000000003</v>
      </c>
      <c r="W108" s="34">
        <f t="shared" si="45"/>
        <v>0</v>
      </c>
      <c r="X108" s="11">
        <v>6043.1</v>
      </c>
      <c r="Y108" s="18">
        <f t="shared" si="46"/>
        <v>0</v>
      </c>
      <c r="Z108" s="35">
        <f t="shared" si="50"/>
        <v>503.5916666666667</v>
      </c>
      <c r="AA108" s="34">
        <f t="shared" si="59"/>
        <v>0.0769230769230771</v>
      </c>
      <c r="AB108" s="11">
        <v>6043.1</v>
      </c>
      <c r="AC108" s="18">
        <f t="shared" si="38"/>
        <v>431.65000000000055</v>
      </c>
      <c r="AD108" s="35">
        <f t="shared" si="39"/>
        <v>503.5916666666667</v>
      </c>
      <c r="AE108" s="34">
        <f t="shared" si="58"/>
        <v>0.021052631578947434</v>
      </c>
      <c r="AF108" s="11">
        <v>5611.45</v>
      </c>
      <c r="AG108" s="18">
        <f t="shared" si="51"/>
        <v>115.69999999999982</v>
      </c>
      <c r="AH108" s="35">
        <f t="shared" si="52"/>
        <v>467.62083333333334</v>
      </c>
      <c r="AI108" s="10">
        <f t="shared" si="49"/>
        <v>0.02162120964263936</v>
      </c>
      <c r="AJ108" s="11">
        <v>5495.75</v>
      </c>
      <c r="AK108" s="11">
        <v>5379.44</v>
      </c>
      <c r="AL108" s="3"/>
    </row>
    <row r="109" spans="1:38" ht="15.75">
      <c r="A109" s="12" t="s">
        <v>194</v>
      </c>
      <c r="B109" s="6"/>
      <c r="C109" s="12" t="s">
        <v>195</v>
      </c>
      <c r="D109" s="6"/>
      <c r="E109" s="6" t="s">
        <v>194</v>
      </c>
      <c r="F109" s="6">
        <v>5911.4</v>
      </c>
      <c r="G109" s="34">
        <f t="shared" si="53"/>
        <v>0.050943396226415194</v>
      </c>
      <c r="H109" s="11">
        <f>4957.3+495.73*4</f>
        <v>6940.22</v>
      </c>
      <c r="I109" s="18">
        <f t="shared" si="41"/>
        <v>336.4200000000001</v>
      </c>
      <c r="J109" s="35">
        <f t="shared" si="40"/>
        <v>578.3516666666667</v>
      </c>
      <c r="K109" s="34">
        <f t="shared" si="54"/>
        <v>0.019230769230769384</v>
      </c>
      <c r="L109" s="11">
        <v>6603.8</v>
      </c>
      <c r="M109" s="18">
        <f t="shared" si="42"/>
        <v>124.60000000000036</v>
      </c>
      <c r="N109" s="35">
        <f t="shared" si="34"/>
        <v>550.3166666666667</v>
      </c>
      <c r="O109" s="34">
        <f t="shared" si="55"/>
        <v>0</v>
      </c>
      <c r="P109" s="11">
        <v>6479.2</v>
      </c>
      <c r="Q109" s="18">
        <f t="shared" si="43"/>
        <v>0</v>
      </c>
      <c r="R109" s="35">
        <f t="shared" si="35"/>
        <v>539.9333333333333</v>
      </c>
      <c r="S109" s="34">
        <f t="shared" si="56"/>
        <v>0</v>
      </c>
      <c r="T109" s="11">
        <v>6479.2</v>
      </c>
      <c r="U109" s="18">
        <f t="shared" si="44"/>
        <v>0</v>
      </c>
      <c r="V109" s="35">
        <f t="shared" si="36"/>
        <v>539.9333333333333</v>
      </c>
      <c r="W109" s="34">
        <f t="shared" si="45"/>
        <v>0</v>
      </c>
      <c r="X109" s="11">
        <v>6479.2</v>
      </c>
      <c r="Y109" s="18">
        <f t="shared" si="46"/>
        <v>0</v>
      </c>
      <c r="Z109" s="35">
        <f t="shared" si="50"/>
        <v>539.9333333333333</v>
      </c>
      <c r="AA109" s="34">
        <f t="shared" si="59"/>
        <v>0.09605169672158875</v>
      </c>
      <c r="AB109" s="11">
        <v>6479.2</v>
      </c>
      <c r="AC109" s="18">
        <f t="shared" si="38"/>
        <v>567.8000000000002</v>
      </c>
      <c r="AD109" s="35">
        <f t="shared" si="39"/>
        <v>539.9333333333333</v>
      </c>
      <c r="AE109" s="34">
        <f t="shared" si="58"/>
        <v>0.021849611063094132</v>
      </c>
      <c r="AF109" s="11">
        <v>5911.4</v>
      </c>
      <c r="AG109" s="18">
        <f t="shared" si="51"/>
        <v>126.39999999999964</v>
      </c>
      <c r="AH109" s="35">
        <f t="shared" si="52"/>
        <v>492.6166666666666</v>
      </c>
      <c r="AI109" s="10">
        <f t="shared" si="49"/>
        <v>-0.0714285714285714</v>
      </c>
      <c r="AJ109" s="11">
        <v>5785</v>
      </c>
      <c r="AK109" s="11">
        <v>6230</v>
      </c>
      <c r="AL109" s="3"/>
    </row>
    <row r="110" spans="1:38" ht="15.75">
      <c r="A110" s="12" t="s">
        <v>196</v>
      </c>
      <c r="B110" s="6"/>
      <c r="C110" s="12" t="s">
        <v>197</v>
      </c>
      <c r="D110" s="6"/>
      <c r="E110" s="6" t="s">
        <v>196</v>
      </c>
      <c r="F110" s="6">
        <v>8714.88</v>
      </c>
      <c r="G110" s="34">
        <f t="shared" si="53"/>
        <v>0.2830029748259355</v>
      </c>
      <c r="H110" s="11">
        <f>16990.99-144.93</f>
        <v>16846.06</v>
      </c>
      <c r="I110" s="18">
        <f t="shared" si="41"/>
        <v>3715.880000000001</v>
      </c>
      <c r="J110" s="35">
        <f t="shared" si="40"/>
        <v>1403.8383333333334</v>
      </c>
      <c r="K110" s="34">
        <f t="shared" si="54"/>
        <v>0.1643471675626016</v>
      </c>
      <c r="L110" s="11">
        <v>13130.18</v>
      </c>
      <c r="M110" s="18">
        <f t="shared" si="42"/>
        <v>1853.3199999999997</v>
      </c>
      <c r="N110" s="35">
        <f t="shared" si="34"/>
        <v>1094.1816666666666</v>
      </c>
      <c r="O110" s="34">
        <f t="shared" si="55"/>
        <v>0.20701591392693386</v>
      </c>
      <c r="P110" s="11">
        <f>805.49+10471.37</f>
        <v>11276.86</v>
      </c>
      <c r="Q110" s="18">
        <f t="shared" si="43"/>
        <v>1934.1000000000004</v>
      </c>
      <c r="R110" s="35">
        <f t="shared" si="35"/>
        <v>939.7383333333333</v>
      </c>
      <c r="S110" s="34">
        <f t="shared" si="56"/>
        <v>-0.0116849073648978</v>
      </c>
      <c r="T110" s="11">
        <v>9342.76</v>
      </c>
      <c r="U110" s="18">
        <f t="shared" si="44"/>
        <v>-110.45999999999913</v>
      </c>
      <c r="V110" s="35">
        <f t="shared" si="36"/>
        <v>778.5633333333334</v>
      </c>
      <c r="W110" s="34">
        <f t="shared" si="45"/>
        <v>0.01855619006572562</v>
      </c>
      <c r="X110" s="11">
        <v>9453.22</v>
      </c>
      <c r="Y110" s="18">
        <f t="shared" si="46"/>
        <v>172.21999999999935</v>
      </c>
      <c r="Z110" s="35">
        <f t="shared" si="50"/>
        <v>787.7683333333333</v>
      </c>
      <c r="AA110" s="34">
        <f t="shared" si="59"/>
        <v>0.06496016009400019</v>
      </c>
      <c r="AB110" s="11">
        <v>9281</v>
      </c>
      <c r="AC110" s="18">
        <f t="shared" si="38"/>
        <v>566.1200000000008</v>
      </c>
      <c r="AD110" s="35">
        <f t="shared" si="39"/>
        <v>773.4166666666666</v>
      </c>
      <c r="AE110" s="34">
        <f t="shared" si="58"/>
        <v>-0.05978206926313523</v>
      </c>
      <c r="AF110" s="11">
        <v>8714.88</v>
      </c>
      <c r="AG110" s="18">
        <f t="shared" si="51"/>
        <v>-554.1200000000008</v>
      </c>
      <c r="AH110" s="35">
        <f t="shared" si="52"/>
        <v>726.2399999999999</v>
      </c>
      <c r="AI110" s="10">
        <f t="shared" si="49"/>
        <v>-0.0714285714285714</v>
      </c>
      <c r="AJ110" s="11">
        <v>9269</v>
      </c>
      <c r="AK110" s="11">
        <v>9982</v>
      </c>
      <c r="AL110" s="3"/>
    </row>
    <row r="111" spans="1:38" ht="15.75">
      <c r="A111" s="12" t="s">
        <v>198</v>
      </c>
      <c r="B111" s="6"/>
      <c r="C111" s="12" t="s">
        <v>199</v>
      </c>
      <c r="D111" s="6"/>
      <c r="E111" s="6" t="s">
        <v>198</v>
      </c>
      <c r="F111" s="6">
        <v>5611.45</v>
      </c>
      <c r="G111" s="34">
        <f t="shared" si="53"/>
        <v>0.050943396226415194</v>
      </c>
      <c r="H111" s="11">
        <v>6940.22</v>
      </c>
      <c r="I111" s="18">
        <f t="shared" si="41"/>
        <v>336.4200000000001</v>
      </c>
      <c r="J111" s="35">
        <f t="shared" si="40"/>
        <v>578.3516666666667</v>
      </c>
      <c r="K111" s="34">
        <f t="shared" si="54"/>
        <v>0.04950495049504955</v>
      </c>
      <c r="L111" s="11">
        <v>6603.8</v>
      </c>
      <c r="M111" s="18">
        <f t="shared" si="42"/>
        <v>311.5</v>
      </c>
      <c r="N111" s="35">
        <f t="shared" si="34"/>
        <v>550.3166666666667</v>
      </c>
      <c r="O111" s="34">
        <f t="shared" si="55"/>
        <v>0.02911208151382816</v>
      </c>
      <c r="P111" s="11">
        <v>6292.3</v>
      </c>
      <c r="Q111" s="18">
        <f t="shared" si="43"/>
        <v>178</v>
      </c>
      <c r="R111" s="35">
        <f t="shared" si="35"/>
        <v>524.3583333333333</v>
      </c>
      <c r="S111" s="34">
        <f t="shared" si="56"/>
        <v>0.01178203240058906</v>
      </c>
      <c r="T111" s="11">
        <v>6114.3</v>
      </c>
      <c r="U111" s="18">
        <f t="shared" si="44"/>
        <v>71.19999999999982</v>
      </c>
      <c r="V111" s="35">
        <f t="shared" si="36"/>
        <v>509.52500000000003</v>
      </c>
      <c r="W111" s="34">
        <f t="shared" si="45"/>
        <v>0</v>
      </c>
      <c r="X111" s="11">
        <v>6043.1</v>
      </c>
      <c r="Y111" s="18">
        <f t="shared" si="46"/>
        <v>0</v>
      </c>
      <c r="Z111" s="35">
        <f t="shared" si="50"/>
        <v>503.5916666666667</v>
      </c>
      <c r="AA111" s="34">
        <f t="shared" si="59"/>
        <v>0.0769230769230771</v>
      </c>
      <c r="AB111" s="11">
        <v>6043.1</v>
      </c>
      <c r="AC111" s="18">
        <f t="shared" si="38"/>
        <v>431.65000000000055</v>
      </c>
      <c r="AD111" s="35">
        <f t="shared" si="39"/>
        <v>503.5916666666667</v>
      </c>
      <c r="AE111" s="34">
        <f t="shared" si="58"/>
        <v>0.021052631578947434</v>
      </c>
      <c r="AF111" s="11">
        <v>5611.45</v>
      </c>
      <c r="AG111" s="18">
        <f t="shared" si="51"/>
        <v>115.69999999999982</v>
      </c>
      <c r="AH111" s="35">
        <f t="shared" si="52"/>
        <v>467.62083333333334</v>
      </c>
      <c r="AI111" s="10">
        <f t="shared" si="49"/>
        <v>-0.019841269841269882</v>
      </c>
      <c r="AJ111" s="11">
        <v>5495.75</v>
      </c>
      <c r="AK111" s="11">
        <v>5607</v>
      </c>
      <c r="AL111" s="3"/>
    </row>
    <row r="112" spans="1:38" ht="15.75">
      <c r="A112" s="12" t="s">
        <v>200</v>
      </c>
      <c r="B112" s="11"/>
      <c r="C112" s="12" t="s">
        <v>201</v>
      </c>
      <c r="D112" s="6"/>
      <c r="E112" s="6"/>
      <c r="F112" s="6"/>
      <c r="G112" s="34" t="e">
        <f t="shared" si="53"/>
        <v>#DIV/0!</v>
      </c>
      <c r="H112" s="11"/>
      <c r="I112" s="18">
        <f t="shared" si="41"/>
        <v>0</v>
      </c>
      <c r="J112" s="35">
        <f t="shared" si="40"/>
        <v>0</v>
      </c>
      <c r="K112" s="34" t="e">
        <f t="shared" si="54"/>
        <v>#DIV/0!</v>
      </c>
      <c r="L112" s="11"/>
      <c r="M112" s="18">
        <f t="shared" si="42"/>
        <v>0</v>
      </c>
      <c r="N112" s="35">
        <f t="shared" si="34"/>
        <v>0</v>
      </c>
      <c r="O112" s="34" t="e">
        <f t="shared" si="55"/>
        <v>#DIV/0!</v>
      </c>
      <c r="P112" s="11"/>
      <c r="Q112" s="18">
        <f t="shared" si="43"/>
        <v>0</v>
      </c>
      <c r="R112" s="35">
        <f t="shared" si="35"/>
        <v>0</v>
      </c>
      <c r="S112" s="34" t="e">
        <f t="shared" si="56"/>
        <v>#DIV/0!</v>
      </c>
      <c r="T112" s="11"/>
      <c r="U112" s="18">
        <f t="shared" si="44"/>
        <v>0</v>
      </c>
      <c r="V112" s="35">
        <f t="shared" si="36"/>
        <v>0</v>
      </c>
      <c r="W112" s="34" t="e">
        <f t="shared" si="45"/>
        <v>#DIV/0!</v>
      </c>
      <c r="X112" s="11"/>
      <c r="Y112" s="18">
        <f t="shared" si="46"/>
        <v>0</v>
      </c>
      <c r="Z112" s="35">
        <f t="shared" si="50"/>
        <v>0</v>
      </c>
      <c r="AA112" s="34" t="e">
        <f t="shared" si="59"/>
        <v>#DIV/0!</v>
      </c>
      <c r="AB112" s="11"/>
      <c r="AC112" s="18">
        <f t="shared" si="38"/>
        <v>0</v>
      </c>
      <c r="AD112" s="35">
        <f t="shared" si="39"/>
        <v>0</v>
      </c>
      <c r="AE112" s="34">
        <f t="shared" si="58"/>
        <v>-1</v>
      </c>
      <c r="AF112" s="11"/>
      <c r="AG112" s="18">
        <f t="shared" si="51"/>
        <v>-2749.15</v>
      </c>
      <c r="AH112" s="35">
        <f t="shared" si="52"/>
        <v>0</v>
      </c>
      <c r="AI112" s="10">
        <f t="shared" si="49"/>
        <v>-0.36655529953917043</v>
      </c>
      <c r="AJ112" s="11">
        <v>2749.15</v>
      </c>
      <c r="AK112" s="11">
        <v>4340</v>
      </c>
      <c r="AL112" s="3"/>
    </row>
    <row r="113" spans="1:38" ht="15.75">
      <c r="A113" s="12" t="s">
        <v>202</v>
      </c>
      <c r="B113" s="6"/>
      <c r="C113" s="12" t="s">
        <v>203</v>
      </c>
      <c r="D113" s="6"/>
      <c r="E113" s="6" t="s">
        <v>202</v>
      </c>
      <c r="F113" s="6">
        <v>5611.45</v>
      </c>
      <c r="G113" s="34">
        <f t="shared" si="53"/>
        <v>0.0056636672563668</v>
      </c>
      <c r="H113" s="11">
        <v>7901.6</v>
      </c>
      <c r="I113" s="18">
        <f t="shared" si="41"/>
        <v>44.5</v>
      </c>
      <c r="J113" s="35">
        <f t="shared" si="40"/>
        <v>658.4666666666667</v>
      </c>
      <c r="K113" s="34">
        <f t="shared" si="54"/>
        <v>0.07906446562474256</v>
      </c>
      <c r="L113" s="11">
        <v>7857.1</v>
      </c>
      <c r="M113" s="18">
        <f t="shared" si="42"/>
        <v>575.7000000000007</v>
      </c>
      <c r="N113" s="35">
        <f t="shared" si="34"/>
        <v>654.7583333333333</v>
      </c>
      <c r="O113" s="34">
        <f t="shared" si="55"/>
        <v>0.0009622786759044821</v>
      </c>
      <c r="P113" s="11">
        <v>7281.4</v>
      </c>
      <c r="Q113" s="18">
        <f t="shared" si="43"/>
        <v>7</v>
      </c>
      <c r="R113" s="35">
        <f t="shared" si="35"/>
        <v>606.7833333333333</v>
      </c>
      <c r="S113" s="34">
        <f t="shared" si="56"/>
        <v>0.0003850596842509546</v>
      </c>
      <c r="T113" s="11">
        <v>7274.4</v>
      </c>
      <c r="U113" s="18">
        <f t="shared" si="44"/>
        <v>2.7999999999992724</v>
      </c>
      <c r="V113" s="35">
        <f t="shared" si="36"/>
        <v>606.1999999999999</v>
      </c>
      <c r="W113" s="34">
        <f t="shared" si="45"/>
        <v>-0.05808900201423561</v>
      </c>
      <c r="X113" s="11">
        <v>7271.6</v>
      </c>
      <c r="Y113" s="18">
        <f t="shared" si="46"/>
        <v>-448.4499999999998</v>
      </c>
      <c r="Z113" s="35">
        <f t="shared" si="50"/>
        <v>605.9666666666667</v>
      </c>
      <c r="AA113" s="34">
        <f t="shared" si="59"/>
        <v>0.37576740414687837</v>
      </c>
      <c r="AB113" s="11">
        <v>7720.05</v>
      </c>
      <c r="AC113" s="18">
        <f t="shared" si="38"/>
        <v>2108.6000000000004</v>
      </c>
      <c r="AD113" s="35">
        <f t="shared" si="39"/>
        <v>643.3375</v>
      </c>
      <c r="AE113" s="34">
        <f t="shared" si="58"/>
        <v>0.47485380116959064</v>
      </c>
      <c r="AF113" s="11">
        <v>5611.45</v>
      </c>
      <c r="AG113" s="18">
        <f t="shared" si="51"/>
        <v>1806.6999999999998</v>
      </c>
      <c r="AH113" s="35">
        <f t="shared" si="52"/>
        <v>467.62083333333334</v>
      </c>
      <c r="AI113" s="13"/>
      <c r="AJ113" s="11">
        <v>3804.75</v>
      </c>
      <c r="AK113" s="11"/>
      <c r="AL113" s="3"/>
    </row>
    <row r="114" spans="1:38" ht="15.75">
      <c r="A114" s="12" t="s">
        <v>204</v>
      </c>
      <c r="B114" s="6"/>
      <c r="C114" s="12" t="s">
        <v>205</v>
      </c>
      <c r="D114" s="6"/>
      <c r="E114" s="6" t="s">
        <v>204</v>
      </c>
      <c r="F114" s="6">
        <v>4868.64</v>
      </c>
      <c r="G114" s="34">
        <f t="shared" si="53"/>
        <v>0.11581764994380594</v>
      </c>
      <c r="H114" s="11">
        <f>+H115+H116</f>
        <v>16699.260000000002</v>
      </c>
      <c r="I114" s="18">
        <f t="shared" si="41"/>
        <v>1733.3200000000033</v>
      </c>
      <c r="J114" s="35">
        <f t="shared" si="40"/>
        <v>1391.6050000000002</v>
      </c>
      <c r="K114" s="34">
        <f t="shared" si="54"/>
        <v>0.12070840197693555</v>
      </c>
      <c r="L114" s="11">
        <f>+L115+L116</f>
        <v>14965.939999999999</v>
      </c>
      <c r="M114" s="18">
        <f t="shared" si="42"/>
        <v>1611.9399999999987</v>
      </c>
      <c r="N114" s="35">
        <f t="shared" si="34"/>
        <v>1247.1616666666666</v>
      </c>
      <c r="O114" s="34">
        <f t="shared" si="55"/>
        <v>0.0922498842643713</v>
      </c>
      <c r="P114" s="11">
        <f>+P115+P116</f>
        <v>13354</v>
      </c>
      <c r="Q114" s="18">
        <f t="shared" si="43"/>
        <v>1127.8600000000006</v>
      </c>
      <c r="R114" s="35">
        <f t="shared" si="35"/>
        <v>1112.8333333333333</v>
      </c>
      <c r="S114" s="34">
        <f t="shared" si="56"/>
        <v>0.08362404543617452</v>
      </c>
      <c r="T114" s="11">
        <f>+T115+T116</f>
        <v>12226.14</v>
      </c>
      <c r="U114" s="18">
        <f t="shared" si="44"/>
        <v>943.5</v>
      </c>
      <c r="V114" s="35">
        <f t="shared" si="36"/>
        <v>1018.8449999999999</v>
      </c>
      <c r="W114" s="34">
        <f t="shared" si="45"/>
        <v>0.15946044267049242</v>
      </c>
      <c r="X114" s="11">
        <f>+X115+X116</f>
        <v>11282.64</v>
      </c>
      <c r="Y114" s="18">
        <f t="shared" si="46"/>
        <v>1551.7000000000007</v>
      </c>
      <c r="Z114" s="35">
        <f t="shared" si="50"/>
        <v>940.2199999999999</v>
      </c>
      <c r="AA114" s="34">
        <f t="shared" si="59"/>
        <v>0.9986977882940611</v>
      </c>
      <c r="AB114" s="11">
        <f>+AB115+AB116</f>
        <v>9730.939999999999</v>
      </c>
      <c r="AC114" s="18">
        <f t="shared" si="38"/>
        <v>4862.299999999998</v>
      </c>
      <c r="AD114" s="35">
        <f t="shared" si="39"/>
        <v>810.9116666666665</v>
      </c>
      <c r="AE114" s="34">
        <f t="shared" si="58"/>
        <v>0.49402071346375154</v>
      </c>
      <c r="AF114" s="11">
        <v>4868.64</v>
      </c>
      <c r="AG114" s="18">
        <f t="shared" si="51"/>
        <v>1609.8900000000003</v>
      </c>
      <c r="AH114" s="35">
        <f t="shared" si="52"/>
        <v>405.72</v>
      </c>
      <c r="AI114" s="10">
        <f t="shared" si="49"/>
        <v>-0.21358414981418028</v>
      </c>
      <c r="AJ114" s="11">
        <v>3258.75</v>
      </c>
      <c r="AK114" s="11">
        <v>4143.8</v>
      </c>
      <c r="AL114" s="3"/>
    </row>
    <row r="115" spans="1:38" ht="15.75">
      <c r="A115" s="12">
        <v>2040201</v>
      </c>
      <c r="B115" s="6"/>
      <c r="C115" s="12" t="s">
        <v>399</v>
      </c>
      <c r="D115" s="6"/>
      <c r="E115" s="6"/>
      <c r="F115" s="6"/>
      <c r="G115" s="34">
        <f t="shared" si="53"/>
        <v>0.08076781822101231</v>
      </c>
      <c r="H115" s="11">
        <f>5269.76+144.93</f>
        <v>5414.6900000000005</v>
      </c>
      <c r="I115" s="18">
        <f aca="true" t="shared" si="60" ref="I115:I132">+H115-L115</f>
        <v>404.65000000000055</v>
      </c>
      <c r="J115" s="35">
        <f aca="true" t="shared" si="61" ref="J115:J132">+H115/12</f>
        <v>451.2241666666667</v>
      </c>
      <c r="K115" s="34">
        <f t="shared" si="54"/>
        <v>0.10868083524381933</v>
      </c>
      <c r="L115" s="11">
        <v>5010.04</v>
      </c>
      <c r="M115" s="18">
        <f>+L115-P115</f>
        <v>491.1199999999999</v>
      </c>
      <c r="N115" s="35">
        <f>+L115/12</f>
        <v>417.50333333333333</v>
      </c>
      <c r="O115" s="34">
        <f t="shared" si="55"/>
        <v>0.0703065787479158</v>
      </c>
      <c r="P115" s="11">
        <v>4518.92</v>
      </c>
      <c r="Q115" s="18">
        <f>+P115-T115</f>
        <v>296.84000000000015</v>
      </c>
      <c r="R115" s="35">
        <f>+P115/12</f>
        <v>376.57666666666665</v>
      </c>
      <c r="S115" s="34">
        <f t="shared" si="56"/>
        <v>0.033010696914238746</v>
      </c>
      <c r="T115" s="11">
        <v>4222.08</v>
      </c>
      <c r="U115" s="18">
        <f>+T115-X115</f>
        <v>134.92000000000007</v>
      </c>
      <c r="V115" s="35">
        <f>+T115/12</f>
        <v>351.84</v>
      </c>
      <c r="W115" s="34">
        <f t="shared" si="45"/>
        <v>0.024094211976948054</v>
      </c>
      <c r="X115" s="11">
        <v>4087.16</v>
      </c>
      <c r="Y115" s="18">
        <f>+X115-AB115</f>
        <v>96.15999999999985</v>
      </c>
      <c r="Z115" s="35">
        <f>+X115/12</f>
        <v>340.59666666666664</v>
      </c>
      <c r="AA115" s="34" t="e">
        <f t="shared" si="59"/>
        <v>#DIV/0!</v>
      </c>
      <c r="AB115" s="11">
        <v>3991</v>
      </c>
      <c r="AC115" s="18"/>
      <c r="AD115" s="35">
        <f>+AB115/12</f>
        <v>332.5833333333333</v>
      </c>
      <c r="AE115" s="34"/>
      <c r="AF115" s="11"/>
      <c r="AG115" s="18"/>
      <c r="AH115" s="35"/>
      <c r="AI115" s="10"/>
      <c r="AJ115" s="11"/>
      <c r="AK115" s="11"/>
      <c r="AL115" s="3"/>
    </row>
    <row r="116" spans="1:38" ht="15.75">
      <c r="A116" s="12">
        <v>2040202</v>
      </c>
      <c r="B116" s="6"/>
      <c r="C116" s="12" t="s">
        <v>400</v>
      </c>
      <c r="D116" s="6"/>
      <c r="E116" s="6"/>
      <c r="F116" s="6"/>
      <c r="G116" s="34">
        <f t="shared" si="53"/>
        <v>0.1334555389266665</v>
      </c>
      <c r="H116" s="11">
        <v>11284.57</v>
      </c>
      <c r="I116" s="18">
        <f t="shared" si="60"/>
        <v>1328.67</v>
      </c>
      <c r="J116" s="35">
        <f t="shared" si="61"/>
        <v>940.3808333333333</v>
      </c>
      <c r="K116" s="34">
        <f t="shared" si="54"/>
        <v>0.12686019820986338</v>
      </c>
      <c r="L116" s="11">
        <f>11042.59-1086.69</f>
        <v>9955.9</v>
      </c>
      <c r="M116" s="18">
        <f>+L116-P116</f>
        <v>1120.8199999999997</v>
      </c>
      <c r="N116" s="35">
        <f>+L116/12</f>
        <v>829.6583333333333</v>
      </c>
      <c r="O116" s="34">
        <f t="shared" si="55"/>
        <v>0.10382480890947843</v>
      </c>
      <c r="P116" s="11">
        <v>8835.08</v>
      </c>
      <c r="Q116" s="18">
        <f>+P116-T116</f>
        <v>831.0199999999995</v>
      </c>
      <c r="R116" s="35">
        <f>+P116/12</f>
        <v>736.2566666666667</v>
      </c>
      <c r="S116" s="34">
        <f t="shared" si="56"/>
        <v>0.11237332325293115</v>
      </c>
      <c r="T116" s="11">
        <v>8004.06</v>
      </c>
      <c r="U116" s="18">
        <f>+T116-X116</f>
        <v>808.5800000000008</v>
      </c>
      <c r="V116" s="35">
        <f>+T116/12</f>
        <v>667.005</v>
      </c>
      <c r="W116" s="34">
        <f t="shared" si="45"/>
        <v>0.25358104788551805</v>
      </c>
      <c r="X116" s="11">
        <v>7195.48</v>
      </c>
      <c r="Y116" s="18">
        <f>+X116-AB116</f>
        <v>1455.54</v>
      </c>
      <c r="Z116" s="35">
        <f>+X116/12</f>
        <v>599.6233333333333</v>
      </c>
      <c r="AA116" s="34" t="e">
        <f t="shared" si="59"/>
        <v>#DIV/0!</v>
      </c>
      <c r="AB116" s="11">
        <v>5739.94</v>
      </c>
      <c r="AC116" s="18"/>
      <c r="AD116" s="35">
        <f>+AB116/12</f>
        <v>478.3283333333333</v>
      </c>
      <c r="AE116" s="34"/>
      <c r="AF116" s="11"/>
      <c r="AG116" s="18"/>
      <c r="AH116" s="35"/>
      <c r="AI116" s="10"/>
      <c r="AJ116" s="11"/>
      <c r="AK116" s="11"/>
      <c r="AL116" s="3"/>
    </row>
    <row r="117" spans="1:38" ht="15.75">
      <c r="A117" s="12" t="s">
        <v>206</v>
      </c>
      <c r="B117" s="6"/>
      <c r="C117" s="12" t="s">
        <v>207</v>
      </c>
      <c r="D117" s="6"/>
      <c r="E117" s="6" t="s">
        <v>206</v>
      </c>
      <c r="F117" s="6">
        <v>2661.36</v>
      </c>
      <c r="G117" s="34">
        <f t="shared" si="53"/>
        <v>-0.3391765406048799</v>
      </c>
      <c r="H117" s="11">
        <v>610.7</v>
      </c>
      <c r="I117" s="18">
        <f t="shared" si="60"/>
        <v>-313.4499999999997</v>
      </c>
      <c r="J117" s="35">
        <f t="shared" si="61"/>
        <v>50.89166666666667</v>
      </c>
      <c r="K117" s="34">
        <f t="shared" si="54"/>
        <v>0.4342360518351822</v>
      </c>
      <c r="L117" s="11">
        <f>2613.2-1416.91-272.14</f>
        <v>924.1499999999997</v>
      </c>
      <c r="M117" s="18">
        <f aca="true" t="shared" si="62" ref="M117:M171">+L117-P117</f>
        <v>279.7999999999997</v>
      </c>
      <c r="N117" s="35">
        <f aca="true" t="shared" si="63" ref="N117:N171">+L117/12</f>
        <v>77.01249999999997</v>
      </c>
      <c r="O117" s="34">
        <f t="shared" si="55"/>
        <v>-0.22930172475659638</v>
      </c>
      <c r="P117" s="11">
        <v>644.35</v>
      </c>
      <c r="Q117" s="18">
        <f aca="true" t="shared" si="64" ref="Q117:Q171">+P117-T117</f>
        <v>-191.70999999999992</v>
      </c>
      <c r="R117" s="35">
        <f aca="true" t="shared" si="65" ref="R117:R171">+P117/12</f>
        <v>53.69583333333333</v>
      </c>
      <c r="S117" s="34">
        <f t="shared" si="56"/>
        <v>0.04075586316785329</v>
      </c>
      <c r="T117" s="11">
        <f>1095.09-259.03</f>
        <v>836.06</v>
      </c>
      <c r="U117" s="18">
        <f aca="true" t="shared" si="66" ref="U117:U171">+T117-X117</f>
        <v>32.739999999999895</v>
      </c>
      <c r="V117" s="35">
        <f aca="true" t="shared" si="67" ref="V117:V171">+T117/12</f>
        <v>69.67166666666667</v>
      </c>
      <c r="W117" s="34">
        <f t="shared" si="45"/>
        <v>-0.682748053014865</v>
      </c>
      <c r="X117" s="11">
        <v>803.32</v>
      </c>
      <c r="Y117" s="18">
        <f t="shared" si="46"/>
        <v>-1728.7999999999997</v>
      </c>
      <c r="Z117" s="35">
        <f t="shared" si="50"/>
        <v>66.94333333333334</v>
      </c>
      <c r="AA117" s="34">
        <f t="shared" si="59"/>
        <v>-0.04856163765894139</v>
      </c>
      <c r="AB117" s="11">
        <v>2532.12</v>
      </c>
      <c r="AC117" s="18">
        <f t="shared" si="38"/>
        <v>-129.24000000000024</v>
      </c>
      <c r="AD117" s="35">
        <f t="shared" si="39"/>
        <v>211.01</v>
      </c>
      <c r="AE117" s="34">
        <f t="shared" si="58"/>
        <v>0.04908055265388178</v>
      </c>
      <c r="AF117" s="11">
        <v>2661.36</v>
      </c>
      <c r="AG117" s="18">
        <f t="shared" si="51"/>
        <v>124.51000000000022</v>
      </c>
      <c r="AH117" s="35">
        <f t="shared" si="52"/>
        <v>221.78</v>
      </c>
      <c r="AI117" s="10">
        <f t="shared" si="49"/>
        <v>0.11901422118709859</v>
      </c>
      <c r="AJ117" s="11">
        <v>2536.85</v>
      </c>
      <c r="AK117" s="11">
        <v>2267.04</v>
      </c>
      <c r="AL117" s="3"/>
    </row>
    <row r="118" spans="1:38" ht="15.75">
      <c r="A118" s="12" t="s">
        <v>208</v>
      </c>
      <c r="B118" s="6"/>
      <c r="C118" s="12" t="s">
        <v>209</v>
      </c>
      <c r="D118" s="6"/>
      <c r="E118" s="6" t="s">
        <v>208</v>
      </c>
      <c r="F118" s="6">
        <v>481</v>
      </c>
      <c r="G118" s="34">
        <f t="shared" si="53"/>
        <v>0.4548984879071072</v>
      </c>
      <c r="H118" s="11">
        <v>5290.04</v>
      </c>
      <c r="I118" s="18">
        <f t="shared" si="60"/>
        <v>1654.02</v>
      </c>
      <c r="J118" s="35">
        <f t="shared" si="61"/>
        <v>440.83666666666664</v>
      </c>
      <c r="K118" s="34">
        <f t="shared" si="54"/>
        <v>0.7073963288363376</v>
      </c>
      <c r="L118" s="11">
        <v>3636.02</v>
      </c>
      <c r="M118" s="18">
        <f t="shared" si="62"/>
        <v>1506.4499999999998</v>
      </c>
      <c r="N118" s="35">
        <f t="shared" si="63"/>
        <v>303.00166666666667</v>
      </c>
      <c r="O118" s="34">
        <f t="shared" si="55"/>
        <v>0.5266172506738545</v>
      </c>
      <c r="P118" s="11">
        <v>2129.57</v>
      </c>
      <c r="Q118" s="18">
        <f t="shared" si="64"/>
        <v>734.6100000000001</v>
      </c>
      <c r="R118" s="35">
        <f t="shared" si="65"/>
        <v>177.46416666666667</v>
      </c>
      <c r="S118" s="34">
        <f t="shared" si="56"/>
        <v>-0.006877304893850189</v>
      </c>
      <c r="T118" s="11">
        <v>1394.96</v>
      </c>
      <c r="U118" s="18">
        <f t="shared" si="66"/>
        <v>-9.659999999999854</v>
      </c>
      <c r="V118" s="35">
        <f t="shared" si="67"/>
        <v>116.24666666666667</v>
      </c>
      <c r="W118" s="34">
        <f t="shared" si="45"/>
        <v>1.2015987460815047</v>
      </c>
      <c r="X118" s="11">
        <v>1404.62</v>
      </c>
      <c r="Y118" s="18">
        <f t="shared" si="46"/>
        <v>766.6199999999999</v>
      </c>
      <c r="Z118" s="35">
        <f t="shared" si="50"/>
        <v>117.05166666666666</v>
      </c>
      <c r="AA118" s="34">
        <f t="shared" si="59"/>
        <v>0.32640332640332637</v>
      </c>
      <c r="AB118" s="11">
        <v>638</v>
      </c>
      <c r="AC118" s="18">
        <f t="shared" si="38"/>
        <v>157</v>
      </c>
      <c r="AD118" s="35">
        <f t="shared" si="39"/>
        <v>53.166666666666664</v>
      </c>
      <c r="AE118" s="34">
        <f t="shared" si="58"/>
        <v>0</v>
      </c>
      <c r="AF118" s="11">
        <v>481</v>
      </c>
      <c r="AG118" s="18">
        <f t="shared" si="51"/>
        <v>0</v>
      </c>
      <c r="AH118" s="35">
        <f t="shared" si="52"/>
        <v>40.083333333333336</v>
      </c>
      <c r="AI118" s="10">
        <f t="shared" si="49"/>
        <v>-0.0714285714285714</v>
      </c>
      <c r="AJ118" s="11">
        <v>481</v>
      </c>
      <c r="AK118" s="11">
        <v>518</v>
      </c>
      <c r="AL118" s="3"/>
    </row>
    <row r="119" spans="1:38" ht="15.75">
      <c r="A119" s="12" t="s">
        <v>210</v>
      </c>
      <c r="B119" s="6"/>
      <c r="C119" s="12" t="s">
        <v>211</v>
      </c>
      <c r="D119" s="6"/>
      <c r="E119" s="6" t="s">
        <v>210</v>
      </c>
      <c r="F119" s="6">
        <v>4672.58</v>
      </c>
      <c r="G119" s="34">
        <f t="shared" si="53"/>
        <v>-0.013720635089681132</v>
      </c>
      <c r="H119" s="11">
        <v>4445.24</v>
      </c>
      <c r="I119" s="18">
        <f t="shared" si="60"/>
        <v>-61.840000000000146</v>
      </c>
      <c r="J119" s="35">
        <f t="shared" si="61"/>
        <v>370.43666666666667</v>
      </c>
      <c r="K119" s="34">
        <f t="shared" si="54"/>
        <v>0.054998455099575905</v>
      </c>
      <c r="L119" s="11">
        <v>4507.08</v>
      </c>
      <c r="M119" s="18">
        <f t="shared" si="62"/>
        <v>234.96000000000004</v>
      </c>
      <c r="N119" s="35">
        <f t="shared" si="63"/>
        <v>375.59</v>
      </c>
      <c r="O119" s="34">
        <f t="shared" si="55"/>
        <v>0.009356128264012886</v>
      </c>
      <c r="P119" s="11">
        <v>4272.12</v>
      </c>
      <c r="Q119" s="18">
        <f t="shared" si="64"/>
        <v>39.599999999999454</v>
      </c>
      <c r="R119" s="35">
        <f t="shared" si="65"/>
        <v>356.01</v>
      </c>
      <c r="S119" s="34">
        <f t="shared" si="56"/>
        <v>0.003128466198344837</v>
      </c>
      <c r="T119" s="11">
        <v>4232.52</v>
      </c>
      <c r="U119" s="18">
        <f t="shared" si="66"/>
        <v>13.200000000000728</v>
      </c>
      <c r="V119" s="35">
        <f t="shared" si="67"/>
        <v>352.71000000000004</v>
      </c>
      <c r="W119" s="34">
        <f t="shared" si="45"/>
        <v>-0.12529023484144897</v>
      </c>
      <c r="X119" s="11">
        <v>4219.32</v>
      </c>
      <c r="Y119" s="18">
        <f t="shared" si="46"/>
        <v>-604.3600000000006</v>
      </c>
      <c r="Z119" s="35">
        <f t="shared" si="50"/>
        <v>351.60999999999996</v>
      </c>
      <c r="AA119" s="34">
        <f t="shared" si="59"/>
        <v>0.03233759507595391</v>
      </c>
      <c r="AB119" s="11">
        <v>4823.68</v>
      </c>
      <c r="AC119" s="18">
        <f t="shared" si="38"/>
        <v>151.10000000000036</v>
      </c>
      <c r="AD119" s="35">
        <f t="shared" si="39"/>
        <v>401.97333333333336</v>
      </c>
      <c r="AE119" s="34">
        <f t="shared" si="58"/>
        <v>0.06717917797206319</v>
      </c>
      <c r="AF119" s="11">
        <v>4672.58</v>
      </c>
      <c r="AG119" s="18">
        <f t="shared" si="51"/>
        <v>294.1400000000003</v>
      </c>
      <c r="AH119" s="35">
        <f t="shared" si="52"/>
        <v>389.38166666666666</v>
      </c>
      <c r="AI119" s="10">
        <f t="shared" si="49"/>
        <v>0.09752667714451158</v>
      </c>
      <c r="AJ119" s="11">
        <v>4378.44</v>
      </c>
      <c r="AK119" s="11">
        <v>3989.37</v>
      </c>
      <c r="AL119" s="3"/>
    </row>
    <row r="120" spans="1:38" ht="15.75">
      <c r="A120" s="12" t="s">
        <v>212</v>
      </c>
      <c r="B120" s="6"/>
      <c r="C120" s="12" t="s">
        <v>213</v>
      </c>
      <c r="D120" s="6"/>
      <c r="E120" s="6" t="s">
        <v>212</v>
      </c>
      <c r="F120" s="6">
        <v>1075</v>
      </c>
      <c r="G120" s="36" t="e">
        <f t="shared" si="53"/>
        <v>#DIV/0!</v>
      </c>
      <c r="H120" s="11"/>
      <c r="I120" s="18">
        <f t="shared" si="60"/>
        <v>0</v>
      </c>
      <c r="J120" s="35">
        <f t="shared" si="61"/>
        <v>0</v>
      </c>
      <c r="K120" s="36" t="e">
        <f t="shared" si="54"/>
        <v>#DIV/0!</v>
      </c>
      <c r="L120" s="11"/>
      <c r="M120" s="18">
        <f t="shared" si="62"/>
        <v>0</v>
      </c>
      <c r="N120" s="35">
        <f t="shared" si="63"/>
        <v>0</v>
      </c>
      <c r="O120" s="36" t="e">
        <f t="shared" si="55"/>
        <v>#DIV/0!</v>
      </c>
      <c r="P120" s="11"/>
      <c r="Q120" s="18">
        <f t="shared" si="64"/>
        <v>0</v>
      </c>
      <c r="R120" s="35">
        <f t="shared" si="65"/>
        <v>0</v>
      </c>
      <c r="S120" s="36" t="e">
        <f t="shared" si="56"/>
        <v>#DIV/0!</v>
      </c>
      <c r="T120" s="11"/>
      <c r="U120" s="18">
        <f t="shared" si="66"/>
        <v>0</v>
      </c>
      <c r="V120" s="35">
        <f t="shared" si="67"/>
        <v>0</v>
      </c>
      <c r="W120" s="36">
        <f t="shared" si="45"/>
        <v>-1</v>
      </c>
      <c r="X120" s="11"/>
      <c r="Y120" s="18">
        <f t="shared" si="46"/>
        <v>-350</v>
      </c>
      <c r="Z120" s="35">
        <f t="shared" si="50"/>
        <v>0</v>
      </c>
      <c r="AA120" s="36"/>
      <c r="AB120" s="11">
        <v>350</v>
      </c>
      <c r="AC120" s="18">
        <f t="shared" si="38"/>
        <v>-725</v>
      </c>
      <c r="AD120" s="35">
        <f t="shared" si="39"/>
        <v>29.166666666666668</v>
      </c>
      <c r="AE120" s="36"/>
      <c r="AF120" s="11">
        <v>1075</v>
      </c>
      <c r="AG120" s="18">
        <f t="shared" si="51"/>
        <v>1075</v>
      </c>
      <c r="AH120" s="35">
        <f t="shared" si="52"/>
        <v>89.58333333333333</v>
      </c>
      <c r="AI120" s="10"/>
      <c r="AJ120" s="11"/>
      <c r="AK120" s="11"/>
      <c r="AL120" s="3"/>
    </row>
    <row r="121" spans="1:38" ht="15.75">
      <c r="A121" s="12" t="s">
        <v>214</v>
      </c>
      <c r="B121" s="6"/>
      <c r="C121" s="12" t="s">
        <v>215</v>
      </c>
      <c r="D121" s="6"/>
      <c r="E121" s="6"/>
      <c r="F121" s="6"/>
      <c r="G121" s="34" t="e">
        <f t="shared" si="53"/>
        <v>#DIV/0!</v>
      </c>
      <c r="H121" s="11">
        <v>642.55</v>
      </c>
      <c r="I121" s="18">
        <f t="shared" si="60"/>
        <v>642.55</v>
      </c>
      <c r="J121" s="35">
        <f t="shared" si="61"/>
        <v>53.54583333333333</v>
      </c>
      <c r="K121" s="34" t="e">
        <f t="shared" si="54"/>
        <v>#DIV/0!</v>
      </c>
      <c r="L121" s="11"/>
      <c r="M121" s="18">
        <f t="shared" si="62"/>
        <v>0</v>
      </c>
      <c r="N121" s="35">
        <f t="shared" si="63"/>
        <v>0</v>
      </c>
      <c r="O121" s="34" t="e">
        <f t="shared" si="55"/>
        <v>#DIV/0!</v>
      </c>
      <c r="P121" s="11"/>
      <c r="Q121" s="18">
        <f t="shared" si="64"/>
        <v>0</v>
      </c>
      <c r="R121" s="35">
        <f t="shared" si="65"/>
        <v>0</v>
      </c>
      <c r="S121" s="34" t="e">
        <f t="shared" si="56"/>
        <v>#DIV/0!</v>
      </c>
      <c r="T121" s="11"/>
      <c r="U121" s="18">
        <f t="shared" si="66"/>
        <v>0</v>
      </c>
      <c r="V121" s="35">
        <f t="shared" si="67"/>
        <v>0</v>
      </c>
      <c r="W121" s="34" t="e">
        <f t="shared" si="45"/>
        <v>#DIV/0!</v>
      </c>
      <c r="X121" s="11"/>
      <c r="Y121" s="18">
        <f t="shared" si="46"/>
        <v>0</v>
      </c>
      <c r="Z121" s="35">
        <f t="shared" si="50"/>
        <v>0</v>
      </c>
      <c r="AA121" s="34"/>
      <c r="AB121" s="11"/>
      <c r="AC121" s="18">
        <f t="shared" si="38"/>
        <v>0</v>
      </c>
      <c r="AD121" s="35">
        <f t="shared" si="39"/>
        <v>0</v>
      </c>
      <c r="AE121" s="34"/>
      <c r="AF121" s="11"/>
      <c r="AG121" s="18">
        <f t="shared" si="51"/>
        <v>0</v>
      </c>
      <c r="AH121" s="35">
        <f t="shared" si="52"/>
        <v>0</v>
      </c>
      <c r="AI121" s="10"/>
      <c r="AJ121" s="11"/>
      <c r="AK121" s="11"/>
      <c r="AL121" s="3"/>
    </row>
    <row r="122" spans="1:38" ht="15.75">
      <c r="A122" s="12" t="s">
        <v>216</v>
      </c>
      <c r="B122" s="6"/>
      <c r="C122" s="12" t="s">
        <v>217</v>
      </c>
      <c r="D122" s="6"/>
      <c r="E122" s="6" t="s">
        <v>216</v>
      </c>
      <c r="F122" s="6">
        <v>13765.93</v>
      </c>
      <c r="G122" s="34">
        <f t="shared" si="53"/>
        <v>0.1810912035631136</v>
      </c>
      <c r="H122" s="11">
        <f>533.48+750</f>
        <v>1283.48</v>
      </c>
      <c r="I122" s="18">
        <f t="shared" si="60"/>
        <v>196.78999999999996</v>
      </c>
      <c r="J122" s="35">
        <f t="shared" si="61"/>
        <v>106.95666666666666</v>
      </c>
      <c r="K122" s="34">
        <f t="shared" si="54"/>
        <v>0.9543378174232071</v>
      </c>
      <c r="L122" s="11">
        <v>1086.69</v>
      </c>
      <c r="M122" s="18">
        <f t="shared" si="62"/>
        <v>530.6500000000001</v>
      </c>
      <c r="N122" s="35">
        <f t="shared" si="63"/>
        <v>90.5575</v>
      </c>
      <c r="O122" s="34">
        <f t="shared" si="55"/>
        <v>-0.7174349410264098</v>
      </c>
      <c r="P122" s="11">
        <v>556.04</v>
      </c>
      <c r="Q122" s="18">
        <f t="shared" si="64"/>
        <v>-1411.79</v>
      </c>
      <c r="R122" s="35">
        <f t="shared" si="65"/>
        <v>46.336666666666666</v>
      </c>
      <c r="S122" s="34">
        <f t="shared" si="56"/>
        <v>0.03413247288320842</v>
      </c>
      <c r="T122" s="11">
        <v>1967.83</v>
      </c>
      <c r="U122" s="18">
        <f t="shared" si="66"/>
        <v>64.94999999999982</v>
      </c>
      <c r="V122" s="35">
        <f t="shared" si="67"/>
        <v>163.98583333333332</v>
      </c>
      <c r="W122" s="34">
        <f t="shared" si="45"/>
        <v>5.471500476125697</v>
      </c>
      <c r="X122" s="11">
        <v>1902.88</v>
      </c>
      <c r="Y122" s="18">
        <f t="shared" si="46"/>
        <v>1608.8400000000001</v>
      </c>
      <c r="Z122" s="35">
        <f t="shared" si="50"/>
        <v>158.57333333333335</v>
      </c>
      <c r="AA122" s="34">
        <f aca="true" t="shared" si="68" ref="AA122:AA135">AB122/AF122-1</f>
        <v>-0.9786400192358962</v>
      </c>
      <c r="AB122" s="11">
        <v>294.04</v>
      </c>
      <c r="AC122" s="18">
        <f t="shared" si="38"/>
        <v>-13471.89</v>
      </c>
      <c r="AD122" s="35">
        <f t="shared" si="39"/>
        <v>24.503333333333334</v>
      </c>
      <c r="AE122" s="34">
        <f aca="true" t="shared" si="69" ref="AE122:AE138">AF122/AJ122-1</f>
        <v>0.2623410373880797</v>
      </c>
      <c r="AF122" s="11">
        <v>13765.93</v>
      </c>
      <c r="AG122" s="18">
        <f t="shared" si="51"/>
        <v>2860.8500000000004</v>
      </c>
      <c r="AH122" s="35">
        <f t="shared" si="52"/>
        <v>1147.1608333333334</v>
      </c>
      <c r="AI122" s="10">
        <f t="shared" si="49"/>
        <v>0.5432954529372638</v>
      </c>
      <c r="AJ122" s="11">
        <v>10905.08</v>
      </c>
      <c r="AK122" s="11">
        <v>7066.1</v>
      </c>
      <c r="AL122" s="3"/>
    </row>
    <row r="123" spans="1:38" ht="15.75">
      <c r="A123" s="12" t="s">
        <v>218</v>
      </c>
      <c r="B123" s="6"/>
      <c r="C123" s="12" t="s">
        <v>219</v>
      </c>
      <c r="D123" s="6"/>
      <c r="E123" s="6" t="s">
        <v>218</v>
      </c>
      <c r="F123" s="6">
        <v>15245.47</v>
      </c>
      <c r="G123" s="34">
        <f t="shared" si="53"/>
        <v>-0.2180835324150775</v>
      </c>
      <c r="H123" s="11">
        <f>11337.19-495.73*4</f>
        <v>9354.27</v>
      </c>
      <c r="I123" s="18">
        <f t="shared" si="60"/>
        <v>-2608.99</v>
      </c>
      <c r="J123" s="35">
        <f t="shared" si="61"/>
        <v>779.5225</v>
      </c>
      <c r="K123" s="34">
        <f t="shared" si="54"/>
        <v>-0.1325766474377379</v>
      </c>
      <c r="L123" s="11">
        <v>11963.26</v>
      </c>
      <c r="M123" s="18">
        <f t="shared" si="62"/>
        <v>-1828.4599999999991</v>
      </c>
      <c r="N123" s="35">
        <f t="shared" si="63"/>
        <v>996.9383333333334</v>
      </c>
      <c r="O123" s="34">
        <f t="shared" si="55"/>
        <v>-0.06922194904507606</v>
      </c>
      <c r="P123" s="11">
        <v>13791.72</v>
      </c>
      <c r="Q123" s="18">
        <f t="shared" si="64"/>
        <v>-1025.6900000000005</v>
      </c>
      <c r="R123" s="35">
        <f t="shared" si="65"/>
        <v>1149.31</v>
      </c>
      <c r="S123" s="34">
        <f t="shared" si="56"/>
        <v>0.03964168892019737</v>
      </c>
      <c r="T123" s="11">
        <v>14817.41</v>
      </c>
      <c r="U123" s="18">
        <f t="shared" si="66"/>
        <v>564.9899999999998</v>
      </c>
      <c r="V123" s="35">
        <f t="shared" si="67"/>
        <v>1234.7841666666666</v>
      </c>
      <c r="W123" s="34">
        <f t="shared" si="45"/>
        <v>-0.09941810171877685</v>
      </c>
      <c r="X123" s="11">
        <v>14252.42</v>
      </c>
      <c r="Y123" s="18">
        <f t="shared" si="46"/>
        <v>-1573.3700000000008</v>
      </c>
      <c r="Z123" s="35">
        <f t="shared" si="50"/>
        <v>1187.7016666666666</v>
      </c>
      <c r="AA123" s="34">
        <f t="shared" si="68"/>
        <v>0.038065077691930904</v>
      </c>
      <c r="AB123" s="11">
        <v>15825.79</v>
      </c>
      <c r="AC123" s="18">
        <f t="shared" si="38"/>
        <v>580.3200000000015</v>
      </c>
      <c r="AD123" s="35">
        <f t="shared" si="39"/>
        <v>1318.8158333333333</v>
      </c>
      <c r="AE123" s="34">
        <f t="shared" si="69"/>
        <v>0.29561230560040785</v>
      </c>
      <c r="AF123" s="11">
        <v>15245.47</v>
      </c>
      <c r="AG123" s="18">
        <f t="shared" si="51"/>
        <v>3478.4699999999993</v>
      </c>
      <c r="AH123" s="35">
        <f t="shared" si="52"/>
        <v>1270.4558333333332</v>
      </c>
      <c r="AI123" s="10">
        <f t="shared" si="49"/>
        <v>-0.16682008071939392</v>
      </c>
      <c r="AJ123" s="11">
        <v>11767</v>
      </c>
      <c r="AK123" s="11">
        <v>14123</v>
      </c>
      <c r="AL123" s="3"/>
    </row>
    <row r="124" spans="1:38" ht="15.75">
      <c r="A124" s="12" t="s">
        <v>220</v>
      </c>
      <c r="B124" s="6"/>
      <c r="C124" s="12" t="s">
        <v>221</v>
      </c>
      <c r="D124" s="6"/>
      <c r="E124" s="6"/>
      <c r="F124" s="6"/>
      <c r="G124" s="34" t="e">
        <f t="shared" si="53"/>
        <v>#DIV/0!</v>
      </c>
      <c r="H124" s="11"/>
      <c r="I124" s="18">
        <f t="shared" si="60"/>
        <v>0</v>
      </c>
      <c r="J124" s="35">
        <f t="shared" si="61"/>
        <v>0</v>
      </c>
      <c r="K124" s="34" t="e">
        <f t="shared" si="54"/>
        <v>#DIV/0!</v>
      </c>
      <c r="L124" s="11"/>
      <c r="M124" s="18">
        <f t="shared" si="62"/>
        <v>0</v>
      </c>
      <c r="N124" s="35">
        <f t="shared" si="63"/>
        <v>0</v>
      </c>
      <c r="O124" s="34" t="e">
        <f t="shared" si="55"/>
        <v>#DIV/0!</v>
      </c>
      <c r="P124" s="11"/>
      <c r="Q124" s="18">
        <f t="shared" si="64"/>
        <v>0</v>
      </c>
      <c r="R124" s="35">
        <f t="shared" si="65"/>
        <v>0</v>
      </c>
      <c r="S124" s="34" t="e">
        <f t="shared" si="56"/>
        <v>#DIV/0!</v>
      </c>
      <c r="T124" s="11"/>
      <c r="U124" s="18">
        <f t="shared" si="66"/>
        <v>0</v>
      </c>
      <c r="V124" s="35">
        <f t="shared" si="67"/>
        <v>0</v>
      </c>
      <c r="W124" s="34" t="e">
        <f t="shared" si="45"/>
        <v>#DIV/0!</v>
      </c>
      <c r="X124" s="11"/>
      <c r="Y124" s="18">
        <f t="shared" si="46"/>
        <v>0</v>
      </c>
      <c r="Z124" s="35">
        <f t="shared" si="50"/>
        <v>0</v>
      </c>
      <c r="AA124" s="34" t="e">
        <f t="shared" si="68"/>
        <v>#DIV/0!</v>
      </c>
      <c r="AB124" s="11"/>
      <c r="AC124" s="18">
        <f t="shared" si="38"/>
        <v>0</v>
      </c>
      <c r="AD124" s="35">
        <f t="shared" si="39"/>
        <v>0</v>
      </c>
      <c r="AE124" s="34">
        <f t="shared" si="69"/>
        <v>-1</v>
      </c>
      <c r="AF124" s="11"/>
      <c r="AG124" s="18">
        <f t="shared" si="51"/>
        <v>-57.97</v>
      </c>
      <c r="AH124" s="35">
        <f t="shared" si="52"/>
        <v>0</v>
      </c>
      <c r="AI124" s="10">
        <f t="shared" si="49"/>
        <v>2.716025641025641</v>
      </c>
      <c r="AJ124" s="11">
        <v>57.97</v>
      </c>
      <c r="AK124" s="11">
        <v>15.6</v>
      </c>
      <c r="AL124" s="3"/>
    </row>
    <row r="125" spans="1:38" s="20" customFormat="1" ht="15.75">
      <c r="A125" s="15"/>
      <c r="B125" s="16" t="s">
        <v>222</v>
      </c>
      <c r="C125" s="15"/>
      <c r="D125" s="16" t="s">
        <v>87</v>
      </c>
      <c r="E125" s="6"/>
      <c r="F125" s="6"/>
      <c r="G125" s="32">
        <f t="shared" si="53"/>
        <v>0.05855493810622625</v>
      </c>
      <c r="H125" s="18">
        <f>SUM(H126:H131)</f>
        <v>3674.53</v>
      </c>
      <c r="I125" s="18">
        <f t="shared" si="60"/>
        <v>203.26000000000022</v>
      </c>
      <c r="J125" s="33">
        <f t="shared" si="61"/>
        <v>306.21083333333337</v>
      </c>
      <c r="K125" s="32">
        <f t="shared" si="54"/>
        <v>-0.10144983808717667</v>
      </c>
      <c r="L125" s="18">
        <f>SUM(L126:L131)</f>
        <v>3471.27</v>
      </c>
      <c r="M125" s="18">
        <f t="shared" si="62"/>
        <v>-391.9200000000001</v>
      </c>
      <c r="N125" s="33">
        <f t="shared" si="63"/>
        <v>289.2725</v>
      </c>
      <c r="O125" s="32">
        <f t="shared" si="55"/>
        <v>-0.15425402656426845</v>
      </c>
      <c r="P125" s="18">
        <f>SUM(P126:P131)</f>
        <v>3863.19</v>
      </c>
      <c r="Q125" s="18">
        <f t="shared" si="64"/>
        <v>-704.5999999999999</v>
      </c>
      <c r="R125" s="33">
        <f t="shared" si="65"/>
        <v>321.9325</v>
      </c>
      <c r="S125" s="32">
        <f t="shared" si="56"/>
        <v>0.3605991915858202</v>
      </c>
      <c r="T125" s="18">
        <f>SUM(T126:T131)</f>
        <v>4567.79</v>
      </c>
      <c r="U125" s="18">
        <f t="shared" si="66"/>
        <v>1210.6</v>
      </c>
      <c r="V125" s="33">
        <f t="shared" si="67"/>
        <v>380.64916666666664</v>
      </c>
      <c r="W125" s="32">
        <f t="shared" si="45"/>
        <v>-0.45493083517339916</v>
      </c>
      <c r="X125" s="18">
        <f>SUM(X126:X131)</f>
        <v>3357.19</v>
      </c>
      <c r="Y125" s="18">
        <f t="shared" si="46"/>
        <v>-2802.0099999999998</v>
      </c>
      <c r="Z125" s="33">
        <f t="shared" si="50"/>
        <v>279.7658333333333</v>
      </c>
      <c r="AA125" s="32">
        <f t="shared" si="68"/>
        <v>0.5307760750376529</v>
      </c>
      <c r="AB125" s="18">
        <f>SUM(AB126:AB131)</f>
        <v>6159.2</v>
      </c>
      <c r="AC125" s="18">
        <f t="shared" si="38"/>
        <v>2135.6199999999994</v>
      </c>
      <c r="AD125" s="33">
        <f t="shared" si="39"/>
        <v>513.2666666666667</v>
      </c>
      <c r="AE125" s="32">
        <f t="shared" si="69"/>
        <v>-0.2629077879063222</v>
      </c>
      <c r="AF125" s="18">
        <f>SUM(AF126:AF131)</f>
        <v>4023.5800000000004</v>
      </c>
      <c r="AG125" s="18">
        <f t="shared" si="51"/>
        <v>-1435.139999999999</v>
      </c>
      <c r="AH125" s="33">
        <f t="shared" si="52"/>
        <v>335.29833333333335</v>
      </c>
      <c r="AI125" s="17">
        <f t="shared" si="49"/>
        <v>-0.6278311238862997</v>
      </c>
      <c r="AJ125" s="18">
        <f>SUM(AJ126:AJ131)</f>
        <v>5458.719999999999</v>
      </c>
      <c r="AK125" s="18">
        <f>SUM(AK126:AK131)</f>
        <v>14667.32</v>
      </c>
      <c r="AL125" s="19">
        <f>SUM(AL126:AL131)</f>
        <v>0</v>
      </c>
    </row>
    <row r="126" spans="1:38" ht="15.75">
      <c r="A126" s="12" t="s">
        <v>223</v>
      </c>
      <c r="B126" s="6"/>
      <c r="C126" s="12" t="s">
        <v>224</v>
      </c>
      <c r="D126" s="6"/>
      <c r="E126" s="6" t="s">
        <v>223</v>
      </c>
      <c r="F126" s="6">
        <v>2447.34</v>
      </c>
      <c r="G126" s="34">
        <f t="shared" si="53"/>
        <v>-0.04306954795700535</v>
      </c>
      <c r="H126" s="11">
        <v>1788.57</v>
      </c>
      <c r="I126" s="18">
        <f t="shared" si="60"/>
        <v>-80.5</v>
      </c>
      <c r="J126" s="35">
        <f t="shared" si="61"/>
        <v>149.04749999999999</v>
      </c>
      <c r="K126" s="34">
        <f t="shared" si="54"/>
        <v>-0.12418407845967139</v>
      </c>
      <c r="L126" s="11">
        <v>1869.07</v>
      </c>
      <c r="M126" s="18">
        <f t="shared" si="62"/>
        <v>-265.0200000000002</v>
      </c>
      <c r="N126" s="35">
        <f t="shared" si="63"/>
        <v>155.75583333333333</v>
      </c>
      <c r="O126" s="34">
        <f t="shared" si="55"/>
        <v>-0.08982773989107395</v>
      </c>
      <c r="P126" s="11">
        <v>2134.09</v>
      </c>
      <c r="Q126" s="18">
        <f t="shared" si="64"/>
        <v>-210.6199999999999</v>
      </c>
      <c r="R126" s="35">
        <f t="shared" si="65"/>
        <v>177.84083333333334</v>
      </c>
      <c r="S126" s="34">
        <f t="shared" si="56"/>
        <v>0.9266785541139058</v>
      </c>
      <c r="T126" s="11">
        <v>2344.71</v>
      </c>
      <c r="U126" s="18">
        <f t="shared" si="66"/>
        <v>1127.74</v>
      </c>
      <c r="V126" s="35">
        <f t="shared" si="67"/>
        <v>195.3925</v>
      </c>
      <c r="W126" s="34">
        <f t="shared" si="45"/>
        <v>-0.3693704431098006</v>
      </c>
      <c r="X126" s="11">
        <v>1216.97</v>
      </c>
      <c r="Y126" s="18">
        <f t="shared" si="46"/>
        <v>-712.8</v>
      </c>
      <c r="Z126" s="35">
        <f t="shared" si="50"/>
        <v>101.41416666666667</v>
      </c>
      <c r="AA126" s="34">
        <f t="shared" si="68"/>
        <v>-0.2114826709815555</v>
      </c>
      <c r="AB126" s="11">
        <v>1929.77</v>
      </c>
      <c r="AC126" s="18">
        <f t="shared" si="38"/>
        <v>-517.5700000000002</v>
      </c>
      <c r="AD126" s="35">
        <f t="shared" si="39"/>
        <v>160.81416666666667</v>
      </c>
      <c r="AE126" s="34">
        <f t="shared" si="69"/>
        <v>-0.22105872916852332</v>
      </c>
      <c r="AF126" s="11">
        <v>2447.34</v>
      </c>
      <c r="AG126" s="18">
        <f t="shared" si="51"/>
        <v>-694.54</v>
      </c>
      <c r="AH126" s="35">
        <f t="shared" si="52"/>
        <v>203.94500000000002</v>
      </c>
      <c r="AI126" s="10">
        <f t="shared" si="49"/>
        <v>-0.07642018313564669</v>
      </c>
      <c r="AJ126" s="11">
        <v>3141.88</v>
      </c>
      <c r="AK126" s="11">
        <v>3401.85</v>
      </c>
      <c r="AL126" s="3"/>
    </row>
    <row r="127" spans="1:38" ht="15.75">
      <c r="A127" s="12" t="s">
        <v>225</v>
      </c>
      <c r="B127" s="6"/>
      <c r="C127" s="12" t="s">
        <v>226</v>
      </c>
      <c r="D127" s="6"/>
      <c r="E127" s="6"/>
      <c r="F127" s="6"/>
      <c r="G127" s="34" t="e">
        <f t="shared" si="53"/>
        <v>#DIV/0!</v>
      </c>
      <c r="H127" s="11">
        <v>36.14</v>
      </c>
      <c r="I127" s="18">
        <f t="shared" si="60"/>
        <v>36.14</v>
      </c>
      <c r="J127" s="35">
        <f t="shared" si="61"/>
        <v>3.0116666666666667</v>
      </c>
      <c r="K127" s="34">
        <f t="shared" si="54"/>
        <v>-1</v>
      </c>
      <c r="L127" s="11"/>
      <c r="M127" s="18">
        <f t="shared" si="62"/>
        <v>-350</v>
      </c>
      <c r="N127" s="35">
        <f t="shared" si="63"/>
        <v>0</v>
      </c>
      <c r="O127" s="34" t="e">
        <f t="shared" si="55"/>
        <v>#DIV/0!</v>
      </c>
      <c r="P127" s="11">
        <v>350</v>
      </c>
      <c r="Q127" s="18">
        <f t="shared" si="64"/>
        <v>350</v>
      </c>
      <c r="R127" s="35">
        <f t="shared" si="65"/>
        <v>29.166666666666668</v>
      </c>
      <c r="S127" s="34">
        <f t="shared" si="56"/>
        <v>-1</v>
      </c>
      <c r="T127" s="11"/>
      <c r="U127" s="18">
        <f t="shared" si="66"/>
        <v>-689.91</v>
      </c>
      <c r="V127" s="35">
        <f t="shared" si="67"/>
        <v>0</v>
      </c>
      <c r="W127" s="34">
        <f t="shared" si="45"/>
        <v>-0.7632332148201024</v>
      </c>
      <c r="X127" s="11">
        <v>689.91</v>
      </c>
      <c r="Y127" s="18">
        <f t="shared" si="46"/>
        <v>-2223.9700000000003</v>
      </c>
      <c r="Z127" s="35">
        <f t="shared" si="50"/>
        <v>57.4925</v>
      </c>
      <c r="AA127" s="34" t="e">
        <f t="shared" si="68"/>
        <v>#DIV/0!</v>
      </c>
      <c r="AB127" s="11">
        <v>2913.88</v>
      </c>
      <c r="AC127" s="18">
        <f t="shared" si="38"/>
        <v>2913.88</v>
      </c>
      <c r="AD127" s="35">
        <f t="shared" si="39"/>
        <v>242.82333333333335</v>
      </c>
      <c r="AE127" s="34">
        <f t="shared" si="69"/>
        <v>-1</v>
      </c>
      <c r="AF127" s="11"/>
      <c r="AG127" s="18">
        <f t="shared" si="51"/>
        <v>-228.7</v>
      </c>
      <c r="AH127" s="35">
        <f t="shared" si="52"/>
        <v>0</v>
      </c>
      <c r="AI127" s="10">
        <f t="shared" si="49"/>
        <v>-0.9262258064516129</v>
      </c>
      <c r="AJ127" s="11">
        <v>228.7</v>
      </c>
      <c r="AK127" s="11">
        <v>3100</v>
      </c>
      <c r="AL127" s="3"/>
    </row>
    <row r="128" spans="1:38" ht="15.75">
      <c r="A128" s="12" t="s">
        <v>227</v>
      </c>
      <c r="B128" s="6"/>
      <c r="C128" s="12" t="s">
        <v>228</v>
      </c>
      <c r="D128" s="6"/>
      <c r="E128" s="6" t="s">
        <v>227</v>
      </c>
      <c r="F128" s="6">
        <v>174.59</v>
      </c>
      <c r="G128" s="34">
        <f t="shared" si="53"/>
        <v>1.553274235058622</v>
      </c>
      <c r="H128" s="11">
        <v>446.44</v>
      </c>
      <c r="I128" s="18">
        <f t="shared" si="60"/>
        <v>271.59000000000003</v>
      </c>
      <c r="J128" s="35">
        <f t="shared" si="61"/>
        <v>37.20333333333333</v>
      </c>
      <c r="K128" s="34">
        <f t="shared" si="54"/>
        <v>0.09940895372233394</v>
      </c>
      <c r="L128" s="11">
        <v>174.85</v>
      </c>
      <c r="M128" s="18">
        <f t="shared" si="62"/>
        <v>15.810000000000002</v>
      </c>
      <c r="N128" s="35">
        <f t="shared" si="63"/>
        <v>14.570833333333333</v>
      </c>
      <c r="O128" s="34">
        <f t="shared" si="55"/>
        <v>1.1876203576341124</v>
      </c>
      <c r="P128" s="11">
        <v>159.04</v>
      </c>
      <c r="Q128" s="18">
        <f t="shared" si="64"/>
        <v>86.33999999999999</v>
      </c>
      <c r="R128" s="35">
        <f t="shared" si="65"/>
        <v>13.253333333333332</v>
      </c>
      <c r="S128" s="34">
        <f t="shared" si="56"/>
        <v>0.03340440653873511</v>
      </c>
      <c r="T128" s="11">
        <v>72.7</v>
      </c>
      <c r="U128" s="18">
        <f t="shared" si="66"/>
        <v>2.3500000000000085</v>
      </c>
      <c r="V128" s="35">
        <f t="shared" si="67"/>
        <v>6.058333333333334</v>
      </c>
      <c r="W128" s="34">
        <f t="shared" si="45"/>
        <v>-0.3770477286814842</v>
      </c>
      <c r="X128" s="11">
        <v>70.35</v>
      </c>
      <c r="Y128" s="18">
        <f t="shared" si="46"/>
        <v>-42.58000000000001</v>
      </c>
      <c r="Z128" s="35">
        <f t="shared" si="50"/>
        <v>5.8625</v>
      </c>
      <c r="AA128" s="34">
        <f t="shared" si="68"/>
        <v>-0.3531702846669339</v>
      </c>
      <c r="AB128" s="11">
        <v>112.93</v>
      </c>
      <c r="AC128" s="18">
        <f t="shared" si="38"/>
        <v>-61.66</v>
      </c>
      <c r="AD128" s="35">
        <f t="shared" si="39"/>
        <v>9.410833333333334</v>
      </c>
      <c r="AE128" s="34">
        <f t="shared" si="69"/>
        <v>0.10311493018259932</v>
      </c>
      <c r="AF128" s="11">
        <v>174.59</v>
      </c>
      <c r="AG128" s="18">
        <f t="shared" si="51"/>
        <v>16.319999999999993</v>
      </c>
      <c r="AH128" s="35">
        <f t="shared" si="52"/>
        <v>14.549166666666666</v>
      </c>
      <c r="AI128" s="10">
        <f t="shared" si="49"/>
        <v>-0.4412159299533964</v>
      </c>
      <c r="AJ128" s="11">
        <v>158.27</v>
      </c>
      <c r="AK128" s="11">
        <v>283.24</v>
      </c>
      <c r="AL128" s="3"/>
    </row>
    <row r="129" spans="1:38" ht="15.75">
      <c r="A129" s="12" t="s">
        <v>229</v>
      </c>
      <c r="B129" s="6"/>
      <c r="C129" s="12" t="s">
        <v>230</v>
      </c>
      <c r="D129" s="6"/>
      <c r="E129" s="6"/>
      <c r="F129" s="6"/>
      <c r="G129" s="34">
        <f t="shared" si="53"/>
        <v>-1</v>
      </c>
      <c r="H129" s="11"/>
      <c r="I129" s="18">
        <f t="shared" si="60"/>
        <v>-622.97</v>
      </c>
      <c r="J129" s="35">
        <f t="shared" si="61"/>
        <v>0</v>
      </c>
      <c r="K129" s="34" t="e">
        <f t="shared" si="54"/>
        <v>#DIV/0!</v>
      </c>
      <c r="L129" s="11">
        <v>622.97</v>
      </c>
      <c r="M129" s="18">
        <f t="shared" si="62"/>
        <v>622.97</v>
      </c>
      <c r="N129" s="35">
        <f t="shared" si="63"/>
        <v>51.91416666666667</v>
      </c>
      <c r="O129" s="34">
        <f t="shared" si="55"/>
        <v>-1</v>
      </c>
      <c r="P129" s="11"/>
      <c r="Q129" s="18">
        <f t="shared" si="64"/>
        <v>-466.55</v>
      </c>
      <c r="R129" s="35">
        <f t="shared" si="65"/>
        <v>0</v>
      </c>
      <c r="S129" s="34">
        <f t="shared" si="56"/>
        <v>2.6004784688995213</v>
      </c>
      <c r="T129" s="11">
        <v>466.55</v>
      </c>
      <c r="U129" s="18">
        <f t="shared" si="66"/>
        <v>336.97</v>
      </c>
      <c r="V129" s="35">
        <f t="shared" si="67"/>
        <v>38.87916666666667</v>
      </c>
      <c r="W129" s="34" t="e">
        <f t="shared" si="45"/>
        <v>#DIV/0!</v>
      </c>
      <c r="X129" s="11">
        <v>129.58</v>
      </c>
      <c r="Y129" s="18">
        <f t="shared" si="46"/>
        <v>129.58</v>
      </c>
      <c r="Z129" s="35">
        <f t="shared" si="50"/>
        <v>10.798333333333334</v>
      </c>
      <c r="AA129" s="34" t="e">
        <f t="shared" si="68"/>
        <v>#DIV/0!</v>
      </c>
      <c r="AB129" s="11"/>
      <c r="AC129" s="18">
        <f t="shared" si="38"/>
        <v>0</v>
      </c>
      <c r="AD129" s="35">
        <f t="shared" si="39"/>
        <v>0</v>
      </c>
      <c r="AE129" s="34">
        <f t="shared" si="69"/>
        <v>-1</v>
      </c>
      <c r="AF129" s="11"/>
      <c r="AG129" s="18">
        <f t="shared" si="51"/>
        <v>-331.69</v>
      </c>
      <c r="AH129" s="35">
        <f t="shared" si="52"/>
        <v>0</v>
      </c>
      <c r="AI129" s="10">
        <f t="shared" si="49"/>
        <v>-0.8856115157534624</v>
      </c>
      <c r="AJ129" s="11">
        <v>331.69</v>
      </c>
      <c r="AK129" s="11">
        <v>2899.68</v>
      </c>
      <c r="AL129" s="3"/>
    </row>
    <row r="130" spans="1:38" ht="15.75">
      <c r="A130" s="12" t="s">
        <v>231</v>
      </c>
      <c r="B130" s="6"/>
      <c r="C130" s="12" t="s">
        <v>396</v>
      </c>
      <c r="D130" s="6"/>
      <c r="E130" s="6" t="s">
        <v>231</v>
      </c>
      <c r="F130" s="6">
        <v>30.15</v>
      </c>
      <c r="G130" s="34">
        <f t="shared" si="53"/>
        <v>2.557755775577558</v>
      </c>
      <c r="H130" s="11">
        <v>495.88</v>
      </c>
      <c r="I130" s="18">
        <f t="shared" si="60"/>
        <v>356.5</v>
      </c>
      <c r="J130" s="35">
        <f t="shared" si="61"/>
        <v>41.32333333333333</v>
      </c>
      <c r="K130" s="34">
        <f t="shared" si="54"/>
        <v>-0.6661396953147456</v>
      </c>
      <c r="L130" s="11">
        <f>79.5+59.88</f>
        <v>139.38</v>
      </c>
      <c r="M130" s="18">
        <f t="shared" si="62"/>
        <v>-278.1</v>
      </c>
      <c r="N130" s="35">
        <f t="shared" si="63"/>
        <v>11.615</v>
      </c>
      <c r="O130" s="34">
        <f t="shared" si="55"/>
        <v>-0.49538878077671544</v>
      </c>
      <c r="P130" s="11">
        <v>417.48</v>
      </c>
      <c r="Q130" s="18">
        <f t="shared" si="64"/>
        <v>-409.85</v>
      </c>
      <c r="R130" s="35">
        <f t="shared" si="65"/>
        <v>34.79</v>
      </c>
      <c r="S130" s="34">
        <f t="shared" si="56"/>
        <v>0.1940451449024363</v>
      </c>
      <c r="T130" s="11">
        <v>827.33</v>
      </c>
      <c r="U130" s="18">
        <f t="shared" si="66"/>
        <v>134.45000000000005</v>
      </c>
      <c r="V130" s="35">
        <f t="shared" si="67"/>
        <v>68.94416666666667</v>
      </c>
      <c r="W130" s="34">
        <f t="shared" si="45"/>
        <v>0.8594815093124362</v>
      </c>
      <c r="X130" s="11">
        <v>692.88</v>
      </c>
      <c r="Y130" s="18">
        <f t="shared" si="46"/>
        <v>320.26</v>
      </c>
      <c r="Z130" s="35">
        <f t="shared" si="50"/>
        <v>57.74</v>
      </c>
      <c r="AA130" s="34">
        <f t="shared" si="68"/>
        <v>11.358872305140963</v>
      </c>
      <c r="AB130" s="11">
        <v>372.62</v>
      </c>
      <c r="AC130" s="18">
        <f t="shared" si="38"/>
        <v>342.47</v>
      </c>
      <c r="AD130" s="35">
        <f t="shared" si="39"/>
        <v>31.051666666666666</v>
      </c>
      <c r="AE130" s="34">
        <f t="shared" si="69"/>
        <v>-0.09132007233273065</v>
      </c>
      <c r="AF130" s="11">
        <v>30.15</v>
      </c>
      <c r="AG130" s="18">
        <f t="shared" si="51"/>
        <v>-3.030000000000001</v>
      </c>
      <c r="AH130" s="35">
        <f t="shared" si="52"/>
        <v>2.5124999999999997</v>
      </c>
      <c r="AI130" s="10">
        <f t="shared" si="49"/>
        <v>-0.955043696226543</v>
      </c>
      <c r="AJ130" s="11">
        <v>33.18</v>
      </c>
      <c r="AK130" s="11">
        <v>738.05</v>
      </c>
      <c r="AL130" s="3"/>
    </row>
    <row r="131" spans="1:38" ht="15.75">
      <c r="A131" s="12" t="s">
        <v>232</v>
      </c>
      <c r="B131" s="6"/>
      <c r="C131" s="12" t="s">
        <v>233</v>
      </c>
      <c r="D131" s="6"/>
      <c r="E131" s="6" t="s">
        <v>232</v>
      </c>
      <c r="F131" s="6">
        <v>1371.5</v>
      </c>
      <c r="G131" s="34">
        <f t="shared" si="53"/>
        <v>0.36466165413533824</v>
      </c>
      <c r="H131" s="11">
        <f>3478.5-2571</f>
        <v>907.5</v>
      </c>
      <c r="I131" s="18">
        <f t="shared" si="60"/>
        <v>242.5</v>
      </c>
      <c r="J131" s="35">
        <f t="shared" si="61"/>
        <v>75.625</v>
      </c>
      <c r="K131" s="34">
        <f t="shared" si="54"/>
        <v>-0.1714221635226394</v>
      </c>
      <c r="L131" s="11">
        <v>665</v>
      </c>
      <c r="M131" s="18">
        <f t="shared" si="62"/>
        <v>-137.57999999999993</v>
      </c>
      <c r="N131" s="35">
        <f t="shared" si="63"/>
        <v>55.416666666666664</v>
      </c>
      <c r="O131" s="34">
        <f t="shared" si="55"/>
        <v>-0.06295388207822539</v>
      </c>
      <c r="P131" s="11">
        <f>-2152+2954.58</f>
        <v>802.5799999999999</v>
      </c>
      <c r="Q131" s="18">
        <f t="shared" si="64"/>
        <v>-53.92000000000007</v>
      </c>
      <c r="R131" s="35">
        <f t="shared" si="65"/>
        <v>66.88166666666666</v>
      </c>
      <c r="S131" s="34">
        <f t="shared" si="56"/>
        <v>0.536322869955157</v>
      </c>
      <c r="T131" s="11">
        <v>856.5</v>
      </c>
      <c r="U131" s="18">
        <f t="shared" si="66"/>
        <v>299</v>
      </c>
      <c r="V131" s="35">
        <f t="shared" si="67"/>
        <v>71.375</v>
      </c>
      <c r="W131" s="34">
        <f t="shared" si="45"/>
        <v>-0.32831325301204817</v>
      </c>
      <c r="X131" s="11">
        <v>557.5</v>
      </c>
      <c r="Y131" s="18">
        <f t="shared" si="46"/>
        <v>-272.5</v>
      </c>
      <c r="Z131" s="35">
        <f t="shared" si="50"/>
        <v>46.458333333333336</v>
      </c>
      <c r="AA131" s="34">
        <f t="shared" si="68"/>
        <v>-0.39482318629238056</v>
      </c>
      <c r="AB131" s="11">
        <f>3167.5-2337.5</f>
        <v>830</v>
      </c>
      <c r="AC131" s="18">
        <f t="shared" si="38"/>
        <v>-541.5</v>
      </c>
      <c r="AD131" s="35">
        <f t="shared" si="39"/>
        <v>69.16666666666667</v>
      </c>
      <c r="AE131" s="34">
        <f t="shared" si="69"/>
        <v>-0.1236421725239617</v>
      </c>
      <c r="AF131" s="11">
        <v>1371.5</v>
      </c>
      <c r="AG131" s="18">
        <f t="shared" si="51"/>
        <v>-193.5</v>
      </c>
      <c r="AH131" s="35">
        <f t="shared" si="52"/>
        <v>114.29166666666667</v>
      </c>
      <c r="AI131" s="10">
        <f t="shared" si="49"/>
        <v>-0.631287548592296</v>
      </c>
      <c r="AJ131" s="11">
        <v>1565</v>
      </c>
      <c r="AK131" s="11">
        <v>4244.5</v>
      </c>
      <c r="AL131" s="3"/>
    </row>
    <row r="132" spans="1:38" s="20" customFormat="1" ht="15.75">
      <c r="A132" s="15"/>
      <c r="B132" s="16" t="s">
        <v>234</v>
      </c>
      <c r="C132" s="15"/>
      <c r="D132" s="16" t="s">
        <v>235</v>
      </c>
      <c r="E132" s="6"/>
      <c r="F132" s="6"/>
      <c r="G132" s="32">
        <f t="shared" si="53"/>
        <v>0.014050303555940946</v>
      </c>
      <c r="H132" s="18">
        <f>SUM(H133:H137,H152:H154)</f>
        <v>5846</v>
      </c>
      <c r="I132" s="18">
        <f t="shared" si="60"/>
        <v>81</v>
      </c>
      <c r="J132" s="33">
        <f t="shared" si="61"/>
        <v>487.1666666666667</v>
      </c>
      <c r="K132" s="32">
        <f t="shared" si="54"/>
        <v>0.13216810683424973</v>
      </c>
      <c r="L132" s="18">
        <f>SUM(L133:L137,L152:L154)</f>
        <v>5765</v>
      </c>
      <c r="M132" s="18">
        <f t="shared" si="62"/>
        <v>673</v>
      </c>
      <c r="N132" s="33">
        <f t="shared" si="63"/>
        <v>480.4166666666667</v>
      </c>
      <c r="O132" s="32">
        <f t="shared" si="55"/>
        <v>0.07064760302775452</v>
      </c>
      <c r="P132" s="18">
        <f>SUM(P134:P137,P152:P154)</f>
        <v>5092</v>
      </c>
      <c r="Q132" s="18">
        <f t="shared" si="64"/>
        <v>336</v>
      </c>
      <c r="R132" s="33">
        <f t="shared" si="65"/>
        <v>424.3333333333333</v>
      </c>
      <c r="S132" s="32">
        <f t="shared" si="56"/>
        <v>-0.14843330349149508</v>
      </c>
      <c r="T132" s="18">
        <f>SUM(T134:T137,T152:T154)</f>
        <v>4756</v>
      </c>
      <c r="U132" s="18">
        <f t="shared" si="66"/>
        <v>-829</v>
      </c>
      <c r="V132" s="33">
        <f t="shared" si="67"/>
        <v>396.3333333333333</v>
      </c>
      <c r="W132" s="32">
        <f t="shared" si="45"/>
        <v>1.2941055658246046</v>
      </c>
      <c r="X132" s="18">
        <f>SUM(X134:X137,X152:X154)</f>
        <v>5585</v>
      </c>
      <c r="Y132" s="18">
        <f t="shared" si="46"/>
        <v>3150.5</v>
      </c>
      <c r="Z132" s="33">
        <f t="shared" si="50"/>
        <v>465.4166666666667</v>
      </c>
      <c r="AA132" s="32">
        <f t="shared" si="68"/>
        <v>-0.5446979614737235</v>
      </c>
      <c r="AB132" s="18">
        <f>SUM(AB134:AB137,AB152:AB154)</f>
        <v>2434.5</v>
      </c>
      <c r="AC132" s="18">
        <f t="shared" si="38"/>
        <v>-2912.5</v>
      </c>
      <c r="AD132" s="33">
        <f t="shared" si="39"/>
        <v>202.875</v>
      </c>
      <c r="AE132" s="32">
        <f t="shared" si="69"/>
        <v>0.10179270554296305</v>
      </c>
      <c r="AF132" s="18">
        <f>SUM(AF134:AF137,AF152:AF154)</f>
        <v>5347</v>
      </c>
      <c r="AG132" s="18">
        <f t="shared" si="51"/>
        <v>494</v>
      </c>
      <c r="AH132" s="33">
        <f t="shared" si="52"/>
        <v>445.5833333333333</v>
      </c>
      <c r="AI132" s="17">
        <f t="shared" si="49"/>
        <v>2.1309677419354838</v>
      </c>
      <c r="AJ132" s="18">
        <f>SUM(AJ134:AJ137,AJ152:AJ154)</f>
        <v>4853</v>
      </c>
      <c r="AK132" s="18">
        <f>SUM(AK134:AK137,AK152:AK154)</f>
        <v>1550</v>
      </c>
      <c r="AL132" s="19">
        <f>SUM(AL134:AL137,AL152:AL154)</f>
        <v>0</v>
      </c>
    </row>
    <row r="133" spans="1:38" s="20" customFormat="1" ht="15.75">
      <c r="A133" s="15">
        <v>20600</v>
      </c>
      <c r="B133" s="16"/>
      <c r="C133" s="15" t="s">
        <v>547</v>
      </c>
      <c r="D133" s="16"/>
      <c r="E133" s="6"/>
      <c r="F133" s="6"/>
      <c r="G133" s="32"/>
      <c r="H133" s="18"/>
      <c r="I133" s="18"/>
      <c r="J133" s="33"/>
      <c r="K133" s="32"/>
      <c r="L133" s="18">
        <v>900</v>
      </c>
      <c r="M133" s="18"/>
      <c r="N133" s="33"/>
      <c r="O133" s="32"/>
      <c r="P133" s="18"/>
      <c r="Q133" s="18"/>
      <c r="R133" s="33"/>
      <c r="S133" s="32"/>
      <c r="T133" s="18"/>
      <c r="U133" s="18"/>
      <c r="V133" s="33"/>
      <c r="W133" s="32"/>
      <c r="X133" s="18"/>
      <c r="Y133" s="18"/>
      <c r="Z133" s="33"/>
      <c r="AA133" s="32"/>
      <c r="AB133" s="18"/>
      <c r="AC133" s="18"/>
      <c r="AD133" s="33"/>
      <c r="AE133" s="32"/>
      <c r="AF133" s="18"/>
      <c r="AG133" s="18"/>
      <c r="AH133" s="33"/>
      <c r="AI133" s="17"/>
      <c r="AJ133" s="18"/>
      <c r="AK133" s="18"/>
      <c r="AL133" s="19"/>
    </row>
    <row r="134" spans="1:38" ht="15.75">
      <c r="A134" s="12" t="s">
        <v>236</v>
      </c>
      <c r="B134" s="6"/>
      <c r="C134" s="12" t="s">
        <v>237</v>
      </c>
      <c r="D134" s="6"/>
      <c r="E134" s="6"/>
      <c r="F134" s="6"/>
      <c r="G134" s="34" t="e">
        <f aca="true" t="shared" si="70" ref="G134:G160">H134/L134-1</f>
        <v>#DIV/0!</v>
      </c>
      <c r="H134" s="11"/>
      <c r="I134" s="18">
        <f aca="true" t="shared" si="71" ref="I134:I160">+H134-L134</f>
        <v>0</v>
      </c>
      <c r="J134" s="35">
        <f aca="true" t="shared" si="72" ref="J134:J160">+H134/12</f>
        <v>0</v>
      </c>
      <c r="K134" s="34" t="e">
        <f t="shared" si="54"/>
        <v>#DIV/0!</v>
      </c>
      <c r="L134" s="11"/>
      <c r="M134" s="18">
        <f t="shared" si="62"/>
        <v>0</v>
      </c>
      <c r="N134" s="35">
        <f t="shared" si="63"/>
        <v>0</v>
      </c>
      <c r="O134" s="34">
        <f t="shared" si="55"/>
        <v>-1</v>
      </c>
      <c r="P134" s="11"/>
      <c r="Q134" s="18">
        <f t="shared" si="64"/>
        <v>-250</v>
      </c>
      <c r="R134" s="35">
        <f t="shared" si="65"/>
        <v>0</v>
      </c>
      <c r="S134" s="34">
        <f t="shared" si="56"/>
        <v>0</v>
      </c>
      <c r="T134" s="11">
        <v>250</v>
      </c>
      <c r="U134" s="18">
        <f t="shared" si="66"/>
        <v>0</v>
      </c>
      <c r="V134" s="35">
        <f t="shared" si="67"/>
        <v>20.833333333333332</v>
      </c>
      <c r="W134" s="34" t="e">
        <f t="shared" si="45"/>
        <v>#DIV/0!</v>
      </c>
      <c r="X134" s="11">
        <v>250</v>
      </c>
      <c r="Y134" s="18">
        <f t="shared" si="46"/>
        <v>250</v>
      </c>
      <c r="Z134" s="35">
        <f t="shared" si="50"/>
        <v>20.833333333333332</v>
      </c>
      <c r="AA134" s="34" t="e">
        <f t="shared" si="68"/>
        <v>#DIV/0!</v>
      </c>
      <c r="AB134" s="11"/>
      <c r="AC134" s="18">
        <f t="shared" si="38"/>
        <v>0</v>
      </c>
      <c r="AD134" s="35">
        <f t="shared" si="39"/>
        <v>0</v>
      </c>
      <c r="AE134" s="34">
        <f t="shared" si="69"/>
        <v>-1</v>
      </c>
      <c r="AF134" s="11"/>
      <c r="AG134" s="18">
        <f t="shared" si="51"/>
        <v>-250</v>
      </c>
      <c r="AH134" s="35">
        <f t="shared" si="52"/>
        <v>0</v>
      </c>
      <c r="AI134" s="10">
        <f t="shared" si="49"/>
        <v>0.6666666666666667</v>
      </c>
      <c r="AJ134" s="11">
        <v>250</v>
      </c>
      <c r="AK134" s="11">
        <v>150</v>
      </c>
      <c r="AL134" s="3"/>
    </row>
    <row r="135" spans="1:38" ht="15.75">
      <c r="A135" s="12" t="s">
        <v>238</v>
      </c>
      <c r="B135" s="6"/>
      <c r="C135" s="12" t="s">
        <v>239</v>
      </c>
      <c r="D135" s="6"/>
      <c r="E135" s="6" t="s">
        <v>238</v>
      </c>
      <c r="F135" s="6">
        <v>1000</v>
      </c>
      <c r="G135" s="34" t="e">
        <f t="shared" si="70"/>
        <v>#DIV/0!</v>
      </c>
      <c r="H135" s="11">
        <v>500</v>
      </c>
      <c r="I135" s="18">
        <f t="shared" si="71"/>
        <v>500</v>
      </c>
      <c r="J135" s="35">
        <f t="shared" si="72"/>
        <v>41.666666666666664</v>
      </c>
      <c r="K135" s="34" t="e">
        <f t="shared" si="54"/>
        <v>#DIV/0!</v>
      </c>
      <c r="L135" s="11"/>
      <c r="M135" s="18">
        <f t="shared" si="62"/>
        <v>0</v>
      </c>
      <c r="N135" s="35">
        <f t="shared" si="63"/>
        <v>0</v>
      </c>
      <c r="O135" s="34">
        <f t="shared" si="55"/>
        <v>-1</v>
      </c>
      <c r="P135" s="11"/>
      <c r="Q135" s="18">
        <f t="shared" si="64"/>
        <v>-1000</v>
      </c>
      <c r="R135" s="35">
        <f t="shared" si="65"/>
        <v>0</v>
      </c>
      <c r="S135" s="34">
        <f t="shared" si="56"/>
        <v>0</v>
      </c>
      <c r="T135" s="11">
        <v>1000</v>
      </c>
      <c r="U135" s="18">
        <f t="shared" si="66"/>
        <v>0</v>
      </c>
      <c r="V135" s="35">
        <f t="shared" si="67"/>
        <v>83.33333333333333</v>
      </c>
      <c r="W135" s="34" t="e">
        <f t="shared" si="45"/>
        <v>#DIV/0!</v>
      </c>
      <c r="X135" s="11">
        <v>1000</v>
      </c>
      <c r="Y135" s="18">
        <f t="shared" si="46"/>
        <v>1000</v>
      </c>
      <c r="Z135" s="35">
        <f t="shared" si="50"/>
        <v>83.33333333333333</v>
      </c>
      <c r="AA135" s="34">
        <f t="shared" si="68"/>
        <v>-1</v>
      </c>
      <c r="AB135" s="11"/>
      <c r="AC135" s="18">
        <f t="shared" si="38"/>
        <v>-1000</v>
      </c>
      <c r="AD135" s="35">
        <f t="shared" si="39"/>
        <v>0</v>
      </c>
      <c r="AE135" s="34">
        <f t="shared" si="69"/>
        <v>1</v>
      </c>
      <c r="AF135" s="11">
        <v>1000</v>
      </c>
      <c r="AG135" s="18">
        <f t="shared" si="51"/>
        <v>500</v>
      </c>
      <c r="AH135" s="35">
        <f t="shared" si="52"/>
        <v>83.33333333333333</v>
      </c>
      <c r="AI135" s="10">
        <f t="shared" si="49"/>
        <v>0.11111111111111116</v>
      </c>
      <c r="AJ135" s="11">
        <v>500</v>
      </c>
      <c r="AK135" s="11">
        <v>450</v>
      </c>
      <c r="AL135" s="3"/>
    </row>
    <row r="136" spans="1:38" ht="15.75">
      <c r="A136" s="12" t="s">
        <v>240</v>
      </c>
      <c r="B136" s="6"/>
      <c r="C136" s="12" t="s">
        <v>55</v>
      </c>
      <c r="D136" s="6"/>
      <c r="E136" s="6"/>
      <c r="F136" s="6"/>
      <c r="G136" s="34" t="e">
        <f t="shared" si="70"/>
        <v>#DIV/0!</v>
      </c>
      <c r="H136" s="11"/>
      <c r="I136" s="18">
        <f t="shared" si="71"/>
        <v>0</v>
      </c>
      <c r="J136" s="35">
        <f t="shared" si="72"/>
        <v>0</v>
      </c>
      <c r="K136" s="34" t="e">
        <f t="shared" si="54"/>
        <v>#DIV/0!</v>
      </c>
      <c r="L136" s="11"/>
      <c r="M136" s="18">
        <f t="shared" si="62"/>
        <v>0</v>
      </c>
      <c r="N136" s="35">
        <f t="shared" si="63"/>
        <v>0</v>
      </c>
      <c r="O136" s="34" t="e">
        <f t="shared" si="55"/>
        <v>#DIV/0!</v>
      </c>
      <c r="P136" s="11"/>
      <c r="Q136" s="18">
        <f t="shared" si="64"/>
        <v>0</v>
      </c>
      <c r="R136" s="35">
        <f t="shared" si="65"/>
        <v>0</v>
      </c>
      <c r="S136" s="34" t="e">
        <f t="shared" si="56"/>
        <v>#DIV/0!</v>
      </c>
      <c r="T136" s="11"/>
      <c r="U136" s="18">
        <f t="shared" si="66"/>
        <v>0</v>
      </c>
      <c r="V136" s="35">
        <f t="shared" si="67"/>
        <v>0</v>
      </c>
      <c r="W136" s="34" t="e">
        <f t="shared" si="45"/>
        <v>#DIV/0!</v>
      </c>
      <c r="X136" s="11"/>
      <c r="Y136" s="18">
        <f t="shared" si="46"/>
        <v>0</v>
      </c>
      <c r="Z136" s="35">
        <f t="shared" si="50"/>
        <v>0</v>
      </c>
      <c r="AA136" s="34"/>
      <c r="AB136" s="11"/>
      <c r="AC136" s="18">
        <f aca="true" t="shared" si="73" ref="AC136:AC202">+AB136-AF136</f>
        <v>0</v>
      </c>
      <c r="AD136" s="35">
        <f aca="true" t="shared" si="74" ref="AD136:AD202">+AB136/12</f>
        <v>0</v>
      </c>
      <c r="AE136" s="34"/>
      <c r="AF136" s="11"/>
      <c r="AG136" s="18">
        <f t="shared" si="51"/>
        <v>0</v>
      </c>
      <c r="AH136" s="35">
        <f t="shared" si="52"/>
        <v>0</v>
      </c>
      <c r="AI136" s="10"/>
      <c r="AJ136" s="11"/>
      <c r="AK136" s="11"/>
      <c r="AL136" s="3"/>
    </row>
    <row r="137" spans="1:38" ht="15.75">
      <c r="A137" s="6"/>
      <c r="B137" s="9" t="s">
        <v>241</v>
      </c>
      <c r="C137" s="6"/>
      <c r="D137" s="9" t="s">
        <v>242</v>
      </c>
      <c r="E137" s="6"/>
      <c r="F137" s="6"/>
      <c r="G137" s="34">
        <f t="shared" si="70"/>
        <v>0.3192298550035655</v>
      </c>
      <c r="H137" s="11">
        <f>SUM(H138:H151)</f>
        <v>2775</v>
      </c>
      <c r="I137" s="18">
        <f t="shared" si="71"/>
        <v>671.5</v>
      </c>
      <c r="J137" s="35">
        <f t="shared" si="72"/>
        <v>231.25</v>
      </c>
      <c r="K137" s="34">
        <f t="shared" si="54"/>
        <v>-0.15859999999999996</v>
      </c>
      <c r="L137" s="11">
        <f>SUM(L138:L151)</f>
        <v>2103.5</v>
      </c>
      <c r="M137" s="18">
        <f t="shared" si="62"/>
        <v>-396.5</v>
      </c>
      <c r="N137" s="35">
        <f t="shared" si="63"/>
        <v>175.29166666666666</v>
      </c>
      <c r="O137" s="34">
        <f t="shared" si="55"/>
        <v>0.8518518518518519</v>
      </c>
      <c r="P137" s="11">
        <f>SUM(P138:P151)</f>
        <v>2500</v>
      </c>
      <c r="Q137" s="18">
        <f t="shared" si="64"/>
        <v>1150</v>
      </c>
      <c r="R137" s="35">
        <f t="shared" si="65"/>
        <v>208.33333333333334</v>
      </c>
      <c r="S137" s="34">
        <f t="shared" si="56"/>
        <v>-0.4475138121546961</v>
      </c>
      <c r="T137" s="11">
        <f>SUM(T138:T151)</f>
        <v>1350</v>
      </c>
      <c r="U137" s="18">
        <f t="shared" si="66"/>
        <v>-1093.5</v>
      </c>
      <c r="V137" s="35">
        <f t="shared" si="67"/>
        <v>112.5</v>
      </c>
      <c r="W137" s="34" t="e">
        <f t="shared" si="45"/>
        <v>#DIV/0!</v>
      </c>
      <c r="X137" s="11">
        <f>SUM(X138:X151)</f>
        <v>2443.5</v>
      </c>
      <c r="Y137" s="18">
        <f t="shared" si="46"/>
        <v>2443.5</v>
      </c>
      <c r="Z137" s="35">
        <f t="shared" si="50"/>
        <v>203.625</v>
      </c>
      <c r="AA137" s="34">
        <f>AB137/AF137-1</f>
        <v>-1</v>
      </c>
      <c r="AB137" s="11">
        <f>SUM(AB138:AB151)</f>
        <v>0</v>
      </c>
      <c r="AC137" s="18">
        <f t="shared" si="73"/>
        <v>-1050</v>
      </c>
      <c r="AD137" s="35">
        <f t="shared" si="74"/>
        <v>0</v>
      </c>
      <c r="AE137" s="34">
        <f t="shared" si="69"/>
        <v>0.019912578921806645</v>
      </c>
      <c r="AF137" s="11">
        <f>SUM(AF138:AF151)</f>
        <v>1050</v>
      </c>
      <c r="AG137" s="18">
        <f t="shared" si="51"/>
        <v>20.5</v>
      </c>
      <c r="AH137" s="35">
        <f t="shared" si="52"/>
        <v>87.5</v>
      </c>
      <c r="AI137" s="10">
        <f t="shared" si="49"/>
        <v>0.0836842105263158</v>
      </c>
      <c r="AJ137" s="11">
        <f>SUM(AJ138:AJ151)</f>
        <v>1029.5</v>
      </c>
      <c r="AK137" s="11">
        <f>SUM(AK138:AK151)</f>
        <v>950</v>
      </c>
      <c r="AL137" s="3">
        <f>SUM(AL138:AL151)</f>
        <v>0</v>
      </c>
    </row>
    <row r="138" spans="1:38" ht="15.75">
      <c r="A138" s="12" t="s">
        <v>243</v>
      </c>
      <c r="B138" s="6"/>
      <c r="C138" s="12" t="s">
        <v>244</v>
      </c>
      <c r="D138" s="6"/>
      <c r="E138" s="6"/>
      <c r="F138" s="6"/>
      <c r="G138" s="34">
        <f t="shared" si="70"/>
        <v>-0.5348837209302326</v>
      </c>
      <c r="H138" s="11">
        <v>200</v>
      </c>
      <c r="I138" s="18">
        <f t="shared" si="71"/>
        <v>-230</v>
      </c>
      <c r="J138" s="35">
        <f t="shared" si="72"/>
        <v>16.666666666666668</v>
      </c>
      <c r="K138" s="34">
        <f t="shared" si="54"/>
        <v>0.07499999999999996</v>
      </c>
      <c r="L138" s="11">
        <v>430</v>
      </c>
      <c r="M138" s="18">
        <f t="shared" si="62"/>
        <v>30</v>
      </c>
      <c r="N138" s="35">
        <f t="shared" si="63"/>
        <v>35.833333333333336</v>
      </c>
      <c r="O138" s="34">
        <f t="shared" si="55"/>
        <v>1</v>
      </c>
      <c r="P138" s="11">
        <v>400</v>
      </c>
      <c r="Q138" s="18">
        <f t="shared" si="64"/>
        <v>200</v>
      </c>
      <c r="R138" s="35">
        <f t="shared" si="65"/>
        <v>33.333333333333336</v>
      </c>
      <c r="S138" s="34">
        <f t="shared" si="56"/>
        <v>0</v>
      </c>
      <c r="T138" s="11">
        <v>200</v>
      </c>
      <c r="U138" s="18">
        <f t="shared" si="66"/>
        <v>0</v>
      </c>
      <c r="V138" s="35">
        <f t="shared" si="67"/>
        <v>16.666666666666668</v>
      </c>
      <c r="W138" s="34" t="e">
        <f t="shared" si="45"/>
        <v>#DIV/0!</v>
      </c>
      <c r="X138" s="11">
        <v>200</v>
      </c>
      <c r="Y138" s="18">
        <f t="shared" si="46"/>
        <v>200</v>
      </c>
      <c r="Z138" s="35">
        <f t="shared" si="50"/>
        <v>16.666666666666668</v>
      </c>
      <c r="AA138" s="34" t="e">
        <f>AB138/AF138-1</f>
        <v>#DIV/0!</v>
      </c>
      <c r="AB138" s="11"/>
      <c r="AC138" s="18">
        <f t="shared" si="73"/>
        <v>0</v>
      </c>
      <c r="AD138" s="35">
        <f t="shared" si="74"/>
        <v>0</v>
      </c>
      <c r="AE138" s="34">
        <f t="shared" si="69"/>
        <v>-1</v>
      </c>
      <c r="AF138" s="11"/>
      <c r="AG138" s="18">
        <f t="shared" si="51"/>
        <v>-300</v>
      </c>
      <c r="AH138" s="35">
        <f t="shared" si="52"/>
        <v>0</v>
      </c>
      <c r="AI138" s="10">
        <f t="shared" si="49"/>
        <v>-0.1428571428571429</v>
      </c>
      <c r="AJ138" s="11">
        <v>300</v>
      </c>
      <c r="AK138" s="11">
        <v>350</v>
      </c>
      <c r="AL138" s="3"/>
    </row>
    <row r="139" spans="1:38" ht="15.75">
      <c r="A139" s="12" t="s">
        <v>245</v>
      </c>
      <c r="B139" s="6"/>
      <c r="C139" s="12" t="s">
        <v>246</v>
      </c>
      <c r="D139" s="6"/>
      <c r="E139" s="6"/>
      <c r="F139" s="6"/>
      <c r="G139" s="34" t="e">
        <f t="shared" si="70"/>
        <v>#DIV/0!</v>
      </c>
      <c r="H139" s="11"/>
      <c r="I139" s="18">
        <f t="shared" si="71"/>
        <v>0</v>
      </c>
      <c r="J139" s="35">
        <f t="shared" si="72"/>
        <v>0</v>
      </c>
      <c r="K139" s="34" t="e">
        <f t="shared" si="54"/>
        <v>#DIV/0!</v>
      </c>
      <c r="L139" s="11"/>
      <c r="M139" s="18">
        <f t="shared" si="62"/>
        <v>0</v>
      </c>
      <c r="N139" s="35">
        <f t="shared" si="63"/>
        <v>0</v>
      </c>
      <c r="O139" s="34" t="e">
        <f t="shared" si="55"/>
        <v>#DIV/0!</v>
      </c>
      <c r="P139" s="11"/>
      <c r="Q139" s="18">
        <f t="shared" si="64"/>
        <v>0</v>
      </c>
      <c r="R139" s="35">
        <f t="shared" si="65"/>
        <v>0</v>
      </c>
      <c r="S139" s="34" t="e">
        <f t="shared" si="56"/>
        <v>#DIV/0!</v>
      </c>
      <c r="T139" s="11"/>
      <c r="U139" s="18">
        <f t="shared" si="66"/>
        <v>0</v>
      </c>
      <c r="V139" s="35">
        <f t="shared" si="67"/>
        <v>0</v>
      </c>
      <c r="W139" s="34" t="e">
        <f aca="true" t="shared" si="75" ref="W139:W205">X139/AB139-1</f>
        <v>#DIV/0!</v>
      </c>
      <c r="X139" s="11"/>
      <c r="Y139" s="18">
        <f aca="true" t="shared" si="76" ref="Y139:Y205">+X139-AB139</f>
        <v>0</v>
      </c>
      <c r="Z139" s="35">
        <f t="shared" si="50"/>
        <v>0</v>
      </c>
      <c r="AA139" s="34"/>
      <c r="AB139" s="11"/>
      <c r="AC139" s="18">
        <f t="shared" si="73"/>
        <v>0</v>
      </c>
      <c r="AD139" s="35">
        <f t="shared" si="74"/>
        <v>0</v>
      </c>
      <c r="AE139" s="34"/>
      <c r="AF139" s="11"/>
      <c r="AG139" s="18">
        <f t="shared" si="51"/>
        <v>0</v>
      </c>
      <c r="AH139" s="35">
        <f t="shared" si="52"/>
        <v>0</v>
      </c>
      <c r="AI139" s="10"/>
      <c r="AJ139" s="11"/>
      <c r="AK139" s="11"/>
      <c r="AL139" s="3"/>
    </row>
    <row r="140" spans="1:38" ht="15.75">
      <c r="A140" s="12" t="s">
        <v>247</v>
      </c>
      <c r="B140" s="6"/>
      <c r="C140" s="12" t="s">
        <v>248</v>
      </c>
      <c r="D140" s="6"/>
      <c r="E140" s="6"/>
      <c r="F140" s="6"/>
      <c r="G140" s="34" t="e">
        <f t="shared" si="70"/>
        <v>#DIV/0!</v>
      </c>
      <c r="H140" s="11"/>
      <c r="I140" s="18">
        <f t="shared" si="71"/>
        <v>0</v>
      </c>
      <c r="J140" s="35">
        <f t="shared" si="72"/>
        <v>0</v>
      </c>
      <c r="K140" s="34" t="e">
        <f t="shared" si="54"/>
        <v>#DIV/0!</v>
      </c>
      <c r="L140" s="11"/>
      <c r="M140" s="18">
        <f t="shared" si="62"/>
        <v>0</v>
      </c>
      <c r="N140" s="35">
        <f t="shared" si="63"/>
        <v>0</v>
      </c>
      <c r="O140" s="34" t="e">
        <f t="shared" si="55"/>
        <v>#DIV/0!</v>
      </c>
      <c r="P140" s="11"/>
      <c r="Q140" s="18">
        <f t="shared" si="64"/>
        <v>0</v>
      </c>
      <c r="R140" s="35">
        <f t="shared" si="65"/>
        <v>0</v>
      </c>
      <c r="S140" s="34">
        <f t="shared" si="56"/>
        <v>-1</v>
      </c>
      <c r="T140" s="11"/>
      <c r="U140" s="18">
        <f t="shared" si="66"/>
        <v>-400</v>
      </c>
      <c r="V140" s="35">
        <f t="shared" si="67"/>
        <v>0</v>
      </c>
      <c r="W140" s="34" t="e">
        <f t="shared" si="75"/>
        <v>#DIV/0!</v>
      </c>
      <c r="X140" s="11">
        <v>400</v>
      </c>
      <c r="Y140" s="18">
        <f t="shared" si="76"/>
        <v>400</v>
      </c>
      <c r="Z140" s="35">
        <f t="shared" si="50"/>
        <v>33.333333333333336</v>
      </c>
      <c r="AA140" s="34"/>
      <c r="AB140" s="11"/>
      <c r="AC140" s="18">
        <f t="shared" si="73"/>
        <v>0</v>
      </c>
      <c r="AD140" s="35">
        <f t="shared" si="74"/>
        <v>0</v>
      </c>
      <c r="AE140" s="34"/>
      <c r="AF140" s="11"/>
      <c r="AG140" s="18">
        <f t="shared" si="51"/>
        <v>0</v>
      </c>
      <c r="AH140" s="35">
        <f t="shared" si="52"/>
        <v>0</v>
      </c>
      <c r="AI140" s="10"/>
      <c r="AJ140" s="11"/>
      <c r="AK140" s="11"/>
      <c r="AL140" s="3"/>
    </row>
    <row r="141" spans="1:38" ht="15.75">
      <c r="A141" s="12" t="s">
        <v>249</v>
      </c>
      <c r="B141" s="6"/>
      <c r="C141" s="12" t="s">
        <v>250</v>
      </c>
      <c r="D141" s="6"/>
      <c r="E141" s="6"/>
      <c r="F141" s="6"/>
      <c r="G141" s="34" t="e">
        <f t="shared" si="70"/>
        <v>#DIV/0!</v>
      </c>
      <c r="H141" s="11"/>
      <c r="I141" s="18">
        <f t="shared" si="71"/>
        <v>0</v>
      </c>
      <c r="J141" s="35">
        <f t="shared" si="72"/>
        <v>0</v>
      </c>
      <c r="K141" s="34" t="e">
        <f t="shared" si="54"/>
        <v>#DIV/0!</v>
      </c>
      <c r="L141" s="11"/>
      <c r="M141" s="18">
        <f t="shared" si="62"/>
        <v>0</v>
      </c>
      <c r="N141" s="35">
        <f t="shared" si="63"/>
        <v>0</v>
      </c>
      <c r="O141" s="34" t="e">
        <f t="shared" si="55"/>
        <v>#DIV/0!</v>
      </c>
      <c r="P141" s="11"/>
      <c r="Q141" s="18">
        <f t="shared" si="64"/>
        <v>0</v>
      </c>
      <c r="R141" s="35">
        <f t="shared" si="65"/>
        <v>0</v>
      </c>
      <c r="S141" s="34" t="e">
        <f t="shared" si="56"/>
        <v>#DIV/0!</v>
      </c>
      <c r="T141" s="11"/>
      <c r="U141" s="18">
        <f t="shared" si="66"/>
        <v>0</v>
      </c>
      <c r="V141" s="35">
        <f t="shared" si="67"/>
        <v>0</v>
      </c>
      <c r="W141" s="34" t="e">
        <f t="shared" si="75"/>
        <v>#DIV/0!</v>
      </c>
      <c r="X141" s="11"/>
      <c r="Y141" s="18">
        <f t="shared" si="76"/>
        <v>0</v>
      </c>
      <c r="Z141" s="35">
        <f t="shared" si="50"/>
        <v>0</v>
      </c>
      <c r="AA141" s="34"/>
      <c r="AB141" s="11"/>
      <c r="AC141" s="18">
        <f t="shared" si="73"/>
        <v>0</v>
      </c>
      <c r="AD141" s="35">
        <f t="shared" si="74"/>
        <v>0</v>
      </c>
      <c r="AE141" s="34"/>
      <c r="AF141" s="11"/>
      <c r="AG141" s="18">
        <f t="shared" si="51"/>
        <v>0</v>
      </c>
      <c r="AH141" s="35">
        <f t="shared" si="52"/>
        <v>0</v>
      </c>
      <c r="AI141" s="10"/>
      <c r="AJ141" s="11"/>
      <c r="AK141" s="11"/>
      <c r="AL141" s="3"/>
    </row>
    <row r="142" spans="1:38" ht="15.75">
      <c r="A142" s="12" t="s">
        <v>251</v>
      </c>
      <c r="B142" s="6"/>
      <c r="C142" s="12" t="s">
        <v>252</v>
      </c>
      <c r="D142" s="6"/>
      <c r="E142" s="6"/>
      <c r="F142" s="6"/>
      <c r="G142" s="34">
        <f t="shared" si="70"/>
        <v>0.125</v>
      </c>
      <c r="H142" s="11">
        <v>450</v>
      </c>
      <c r="I142" s="18">
        <f t="shared" si="71"/>
        <v>50</v>
      </c>
      <c r="J142" s="35">
        <f t="shared" si="72"/>
        <v>37.5</v>
      </c>
      <c r="K142" s="34">
        <f t="shared" si="54"/>
        <v>0.33333333333333326</v>
      </c>
      <c r="L142" s="11">
        <v>400</v>
      </c>
      <c r="M142" s="18">
        <f t="shared" si="62"/>
        <v>100</v>
      </c>
      <c r="N142" s="35">
        <f t="shared" si="63"/>
        <v>33.333333333333336</v>
      </c>
      <c r="O142" s="34">
        <f t="shared" si="55"/>
        <v>0</v>
      </c>
      <c r="P142" s="11">
        <v>300</v>
      </c>
      <c r="Q142" s="18">
        <f t="shared" si="64"/>
        <v>0</v>
      </c>
      <c r="R142" s="35">
        <f t="shared" si="65"/>
        <v>25</v>
      </c>
      <c r="S142" s="34">
        <f t="shared" si="56"/>
        <v>0</v>
      </c>
      <c r="T142" s="11">
        <v>300</v>
      </c>
      <c r="U142" s="18">
        <f t="shared" si="66"/>
        <v>0</v>
      </c>
      <c r="V142" s="35">
        <f t="shared" si="67"/>
        <v>25</v>
      </c>
      <c r="W142" s="34" t="e">
        <f t="shared" si="75"/>
        <v>#DIV/0!</v>
      </c>
      <c r="X142" s="11">
        <v>300</v>
      </c>
      <c r="Y142" s="18">
        <f t="shared" si="76"/>
        <v>300</v>
      </c>
      <c r="Z142" s="35">
        <f aca="true" t="shared" si="77" ref="Z142:Z205">+X142/12</f>
        <v>25</v>
      </c>
      <c r="AA142" s="34"/>
      <c r="AB142" s="11"/>
      <c r="AC142" s="18">
        <f t="shared" si="73"/>
        <v>0</v>
      </c>
      <c r="AD142" s="35">
        <f t="shared" si="74"/>
        <v>0</v>
      </c>
      <c r="AE142" s="34"/>
      <c r="AF142" s="11"/>
      <c r="AG142" s="18">
        <f aca="true" t="shared" si="78" ref="AG142:AG206">+AF142-AJ142</f>
        <v>0</v>
      </c>
      <c r="AH142" s="35">
        <f aca="true" t="shared" si="79" ref="AH142:AH205">+AF142/12</f>
        <v>0</v>
      </c>
      <c r="AI142" s="10">
        <f aca="true" t="shared" si="80" ref="AI142:AI203">+AJ142/AK142-1</f>
        <v>-1</v>
      </c>
      <c r="AJ142" s="11"/>
      <c r="AK142" s="11">
        <v>200</v>
      </c>
      <c r="AL142" s="3"/>
    </row>
    <row r="143" spans="1:38" ht="15.75">
      <c r="A143" s="12" t="s">
        <v>253</v>
      </c>
      <c r="B143" s="6"/>
      <c r="C143" s="12" t="s">
        <v>254</v>
      </c>
      <c r="D143" s="6"/>
      <c r="E143" s="6"/>
      <c r="F143" s="6"/>
      <c r="G143" s="34" t="e">
        <f t="shared" si="70"/>
        <v>#DIV/0!</v>
      </c>
      <c r="H143" s="11"/>
      <c r="I143" s="18">
        <f t="shared" si="71"/>
        <v>0</v>
      </c>
      <c r="J143" s="35">
        <f t="shared" si="72"/>
        <v>0</v>
      </c>
      <c r="K143" s="34" t="e">
        <f t="shared" si="54"/>
        <v>#DIV/0!</v>
      </c>
      <c r="L143" s="11"/>
      <c r="M143" s="18">
        <f t="shared" si="62"/>
        <v>0</v>
      </c>
      <c r="N143" s="35">
        <f t="shared" si="63"/>
        <v>0</v>
      </c>
      <c r="O143" s="34" t="e">
        <f t="shared" si="55"/>
        <v>#DIV/0!</v>
      </c>
      <c r="P143" s="11"/>
      <c r="Q143" s="18">
        <f t="shared" si="64"/>
        <v>0</v>
      </c>
      <c r="R143" s="35">
        <f t="shared" si="65"/>
        <v>0</v>
      </c>
      <c r="S143" s="34" t="e">
        <f t="shared" si="56"/>
        <v>#DIV/0!</v>
      </c>
      <c r="T143" s="11"/>
      <c r="U143" s="18">
        <f t="shared" si="66"/>
        <v>0</v>
      </c>
      <c r="V143" s="35">
        <f t="shared" si="67"/>
        <v>0</v>
      </c>
      <c r="W143" s="34" t="e">
        <f t="shared" si="75"/>
        <v>#DIV/0!</v>
      </c>
      <c r="X143" s="11"/>
      <c r="Y143" s="18">
        <f t="shared" si="76"/>
        <v>0</v>
      </c>
      <c r="Z143" s="35">
        <f t="shared" si="77"/>
        <v>0</v>
      </c>
      <c r="AA143" s="34"/>
      <c r="AB143" s="11"/>
      <c r="AC143" s="18">
        <f t="shared" si="73"/>
        <v>0</v>
      </c>
      <c r="AD143" s="35">
        <f t="shared" si="74"/>
        <v>0</v>
      </c>
      <c r="AE143" s="34"/>
      <c r="AF143" s="11"/>
      <c r="AG143" s="18">
        <f t="shared" si="78"/>
        <v>0</v>
      </c>
      <c r="AH143" s="35">
        <f t="shared" si="79"/>
        <v>0</v>
      </c>
      <c r="AI143" s="10"/>
      <c r="AJ143" s="11"/>
      <c r="AK143" s="11"/>
      <c r="AL143" s="3"/>
    </row>
    <row r="144" spans="1:38" ht="15.75">
      <c r="A144" s="12" t="s">
        <v>255</v>
      </c>
      <c r="B144" s="6"/>
      <c r="C144" s="12" t="s">
        <v>256</v>
      </c>
      <c r="D144" s="6"/>
      <c r="E144" s="6"/>
      <c r="F144" s="6"/>
      <c r="G144" s="34" t="e">
        <f t="shared" si="70"/>
        <v>#DIV/0!</v>
      </c>
      <c r="H144" s="11"/>
      <c r="I144" s="18">
        <f t="shared" si="71"/>
        <v>0</v>
      </c>
      <c r="J144" s="35">
        <f t="shared" si="72"/>
        <v>0</v>
      </c>
      <c r="K144" s="34" t="e">
        <f t="shared" si="54"/>
        <v>#DIV/0!</v>
      </c>
      <c r="L144" s="11"/>
      <c r="M144" s="18">
        <f t="shared" si="62"/>
        <v>0</v>
      </c>
      <c r="N144" s="35">
        <f t="shared" si="63"/>
        <v>0</v>
      </c>
      <c r="O144" s="34" t="e">
        <f t="shared" si="55"/>
        <v>#DIV/0!</v>
      </c>
      <c r="P144" s="11"/>
      <c r="Q144" s="18">
        <f t="shared" si="64"/>
        <v>0</v>
      </c>
      <c r="R144" s="35">
        <f t="shared" si="65"/>
        <v>0</v>
      </c>
      <c r="S144" s="34">
        <f t="shared" si="56"/>
        <v>-1</v>
      </c>
      <c r="T144" s="11"/>
      <c r="U144" s="18">
        <f t="shared" si="66"/>
        <v>-500</v>
      </c>
      <c r="V144" s="35">
        <f t="shared" si="67"/>
        <v>0</v>
      </c>
      <c r="W144" s="34" t="e">
        <f t="shared" si="75"/>
        <v>#DIV/0!</v>
      </c>
      <c r="X144" s="11">
        <v>500</v>
      </c>
      <c r="Y144" s="18">
        <f t="shared" si="76"/>
        <v>500</v>
      </c>
      <c r="Z144" s="35">
        <f t="shared" si="77"/>
        <v>41.666666666666664</v>
      </c>
      <c r="AA144" s="34"/>
      <c r="AB144" s="11"/>
      <c r="AC144" s="18">
        <f t="shared" si="73"/>
        <v>0</v>
      </c>
      <c r="AD144" s="35">
        <f t="shared" si="74"/>
        <v>0</v>
      </c>
      <c r="AE144" s="34"/>
      <c r="AF144" s="11"/>
      <c r="AG144" s="18">
        <f t="shared" si="78"/>
        <v>0</v>
      </c>
      <c r="AH144" s="35">
        <f t="shared" si="79"/>
        <v>0</v>
      </c>
      <c r="AI144" s="10"/>
      <c r="AJ144" s="11"/>
      <c r="AK144" s="11"/>
      <c r="AL144" s="3"/>
    </row>
    <row r="145" spans="1:38" ht="15.75">
      <c r="A145" s="12" t="s">
        <v>257</v>
      </c>
      <c r="B145" s="6"/>
      <c r="C145" s="12" t="s">
        <v>258</v>
      </c>
      <c r="D145" s="6"/>
      <c r="E145" s="6"/>
      <c r="F145" s="6"/>
      <c r="G145" s="34" t="e">
        <f t="shared" si="70"/>
        <v>#DIV/0!</v>
      </c>
      <c r="H145" s="11"/>
      <c r="I145" s="18">
        <f t="shared" si="71"/>
        <v>0</v>
      </c>
      <c r="J145" s="35">
        <f t="shared" si="72"/>
        <v>0</v>
      </c>
      <c r="K145" s="34" t="e">
        <f t="shared" si="54"/>
        <v>#DIV/0!</v>
      </c>
      <c r="L145" s="11"/>
      <c r="M145" s="18">
        <f t="shared" si="62"/>
        <v>0</v>
      </c>
      <c r="N145" s="35">
        <f t="shared" si="63"/>
        <v>0</v>
      </c>
      <c r="O145" s="34" t="e">
        <f t="shared" si="55"/>
        <v>#DIV/0!</v>
      </c>
      <c r="P145" s="11"/>
      <c r="Q145" s="18">
        <f t="shared" si="64"/>
        <v>0</v>
      </c>
      <c r="R145" s="35">
        <f t="shared" si="65"/>
        <v>0</v>
      </c>
      <c r="S145" s="34" t="e">
        <f t="shared" si="56"/>
        <v>#DIV/0!</v>
      </c>
      <c r="T145" s="11"/>
      <c r="U145" s="18">
        <f t="shared" si="66"/>
        <v>0</v>
      </c>
      <c r="V145" s="35">
        <f t="shared" si="67"/>
        <v>0</v>
      </c>
      <c r="W145" s="34" t="e">
        <f t="shared" si="75"/>
        <v>#DIV/0!</v>
      </c>
      <c r="X145" s="11"/>
      <c r="Y145" s="18">
        <f t="shared" si="76"/>
        <v>0</v>
      </c>
      <c r="Z145" s="35">
        <f t="shared" si="77"/>
        <v>0</v>
      </c>
      <c r="AA145" s="34"/>
      <c r="AB145" s="11"/>
      <c r="AC145" s="18">
        <f t="shared" si="73"/>
        <v>0</v>
      </c>
      <c r="AD145" s="35">
        <f t="shared" si="74"/>
        <v>0</v>
      </c>
      <c r="AE145" s="34"/>
      <c r="AF145" s="11"/>
      <c r="AG145" s="18">
        <f t="shared" si="78"/>
        <v>0</v>
      </c>
      <c r="AH145" s="35">
        <f t="shared" si="79"/>
        <v>0</v>
      </c>
      <c r="AI145" s="10"/>
      <c r="AJ145" s="11"/>
      <c r="AK145" s="11"/>
      <c r="AL145" s="3"/>
    </row>
    <row r="146" spans="1:38" ht="15.75">
      <c r="A146" s="12" t="s">
        <v>259</v>
      </c>
      <c r="B146" s="6"/>
      <c r="C146" s="12" t="s">
        <v>260</v>
      </c>
      <c r="D146" s="6"/>
      <c r="E146" s="6"/>
      <c r="F146" s="6"/>
      <c r="G146" s="34" t="e">
        <f t="shared" si="70"/>
        <v>#DIV/0!</v>
      </c>
      <c r="H146" s="11"/>
      <c r="I146" s="18">
        <f t="shared" si="71"/>
        <v>0</v>
      </c>
      <c r="J146" s="35">
        <f t="shared" si="72"/>
        <v>0</v>
      </c>
      <c r="K146" s="34" t="e">
        <f t="shared" si="54"/>
        <v>#DIV/0!</v>
      </c>
      <c r="L146" s="11"/>
      <c r="M146" s="18">
        <f t="shared" si="62"/>
        <v>0</v>
      </c>
      <c r="N146" s="35">
        <f t="shared" si="63"/>
        <v>0</v>
      </c>
      <c r="O146" s="34" t="e">
        <f t="shared" si="55"/>
        <v>#DIV/0!</v>
      </c>
      <c r="P146" s="11"/>
      <c r="Q146" s="18">
        <f t="shared" si="64"/>
        <v>0</v>
      </c>
      <c r="R146" s="35">
        <f t="shared" si="65"/>
        <v>0</v>
      </c>
      <c r="S146" s="34" t="e">
        <f t="shared" si="56"/>
        <v>#DIV/0!</v>
      </c>
      <c r="T146" s="11"/>
      <c r="U146" s="18">
        <f t="shared" si="66"/>
        <v>0</v>
      </c>
      <c r="V146" s="35">
        <f t="shared" si="67"/>
        <v>0</v>
      </c>
      <c r="W146" s="34" t="e">
        <f t="shared" si="75"/>
        <v>#DIV/0!</v>
      </c>
      <c r="X146" s="11"/>
      <c r="Y146" s="18">
        <f t="shared" si="76"/>
        <v>0</v>
      </c>
      <c r="Z146" s="35">
        <f t="shared" si="77"/>
        <v>0</v>
      </c>
      <c r="AA146" s="34"/>
      <c r="AB146" s="11"/>
      <c r="AC146" s="18">
        <f t="shared" si="73"/>
        <v>0</v>
      </c>
      <c r="AD146" s="35">
        <f t="shared" si="74"/>
        <v>0</v>
      </c>
      <c r="AE146" s="34"/>
      <c r="AF146" s="11"/>
      <c r="AG146" s="18">
        <f t="shared" si="78"/>
        <v>0</v>
      </c>
      <c r="AH146" s="35">
        <f t="shared" si="79"/>
        <v>0</v>
      </c>
      <c r="AI146" s="10"/>
      <c r="AJ146" s="11"/>
      <c r="AK146" s="11"/>
      <c r="AL146" s="3"/>
    </row>
    <row r="147" spans="1:38" ht="15.75">
      <c r="A147" s="12" t="s">
        <v>261</v>
      </c>
      <c r="B147" s="6"/>
      <c r="C147" s="12" t="s">
        <v>262</v>
      </c>
      <c r="D147" s="6"/>
      <c r="E147" s="6" t="s">
        <v>261</v>
      </c>
      <c r="F147" s="6">
        <v>250</v>
      </c>
      <c r="G147" s="34">
        <f t="shared" si="70"/>
        <v>0.004016064257028162</v>
      </c>
      <c r="H147" s="11">
        <v>375</v>
      </c>
      <c r="I147" s="18">
        <f t="shared" si="71"/>
        <v>1.5</v>
      </c>
      <c r="J147" s="35">
        <f t="shared" si="72"/>
        <v>31.25</v>
      </c>
      <c r="K147" s="34">
        <f t="shared" si="54"/>
        <v>0.2450000000000001</v>
      </c>
      <c r="L147" s="11">
        <v>373.5</v>
      </c>
      <c r="M147" s="18">
        <f t="shared" si="62"/>
        <v>73.5</v>
      </c>
      <c r="N147" s="35">
        <f t="shared" si="63"/>
        <v>31.125</v>
      </c>
      <c r="O147" s="34">
        <f t="shared" si="55"/>
        <v>0.19999999999999996</v>
      </c>
      <c r="P147" s="11">
        <v>300</v>
      </c>
      <c r="Q147" s="18">
        <f t="shared" si="64"/>
        <v>50</v>
      </c>
      <c r="R147" s="35">
        <f t="shared" si="65"/>
        <v>25</v>
      </c>
      <c r="S147" s="34">
        <f t="shared" si="56"/>
        <v>0</v>
      </c>
      <c r="T147" s="11">
        <v>250</v>
      </c>
      <c r="U147" s="18">
        <f t="shared" si="66"/>
        <v>0</v>
      </c>
      <c r="V147" s="35">
        <f t="shared" si="67"/>
        <v>20.833333333333332</v>
      </c>
      <c r="W147" s="34" t="e">
        <f t="shared" si="75"/>
        <v>#DIV/0!</v>
      </c>
      <c r="X147" s="11">
        <v>250</v>
      </c>
      <c r="Y147" s="18">
        <f t="shared" si="76"/>
        <v>250</v>
      </c>
      <c r="Z147" s="35">
        <f t="shared" si="77"/>
        <v>20.833333333333332</v>
      </c>
      <c r="AA147" s="34">
        <f>AB147/AF147-1</f>
        <v>-1</v>
      </c>
      <c r="AB147" s="11"/>
      <c r="AC147" s="18">
        <f t="shared" si="73"/>
        <v>-250</v>
      </c>
      <c r="AD147" s="35">
        <f t="shared" si="74"/>
        <v>0</v>
      </c>
      <c r="AE147" s="34">
        <f>AF147/AJ147-1</f>
        <v>0.25</v>
      </c>
      <c r="AF147" s="11">
        <v>250</v>
      </c>
      <c r="AG147" s="18">
        <f t="shared" si="78"/>
        <v>50</v>
      </c>
      <c r="AH147" s="35">
        <f t="shared" si="79"/>
        <v>20.833333333333332</v>
      </c>
      <c r="AI147" s="10">
        <f t="shared" si="80"/>
        <v>0.1428571428571428</v>
      </c>
      <c r="AJ147" s="11">
        <v>200</v>
      </c>
      <c r="AK147" s="11">
        <v>175</v>
      </c>
      <c r="AL147" s="3"/>
    </row>
    <row r="148" spans="1:38" ht="15.75">
      <c r="A148" s="12" t="s">
        <v>263</v>
      </c>
      <c r="B148" s="6"/>
      <c r="C148" s="12" t="s">
        <v>264</v>
      </c>
      <c r="D148" s="6"/>
      <c r="E148" s="6" t="s">
        <v>263</v>
      </c>
      <c r="F148" s="6">
        <v>800</v>
      </c>
      <c r="G148" s="34">
        <f t="shared" si="70"/>
        <v>0</v>
      </c>
      <c r="H148" s="11">
        <v>750</v>
      </c>
      <c r="I148" s="18">
        <f t="shared" si="71"/>
        <v>0</v>
      </c>
      <c r="J148" s="35">
        <f t="shared" si="72"/>
        <v>62.5</v>
      </c>
      <c r="K148" s="34">
        <f t="shared" si="54"/>
        <v>0.5</v>
      </c>
      <c r="L148" s="11">
        <v>750</v>
      </c>
      <c r="M148" s="18">
        <f t="shared" si="62"/>
        <v>250</v>
      </c>
      <c r="N148" s="35">
        <f t="shared" si="63"/>
        <v>62.5</v>
      </c>
      <c r="O148" s="34">
        <f t="shared" si="55"/>
        <v>0</v>
      </c>
      <c r="P148" s="11">
        <v>500</v>
      </c>
      <c r="Q148" s="18">
        <f t="shared" si="64"/>
        <v>0</v>
      </c>
      <c r="R148" s="35">
        <f t="shared" si="65"/>
        <v>41.666666666666664</v>
      </c>
      <c r="S148" s="34">
        <f t="shared" si="56"/>
        <v>0</v>
      </c>
      <c r="T148" s="11">
        <v>500</v>
      </c>
      <c r="U148" s="18">
        <f t="shared" si="66"/>
        <v>0</v>
      </c>
      <c r="V148" s="35">
        <f t="shared" si="67"/>
        <v>41.666666666666664</v>
      </c>
      <c r="W148" s="34" t="e">
        <f t="shared" si="75"/>
        <v>#DIV/0!</v>
      </c>
      <c r="X148" s="11">
        <v>500</v>
      </c>
      <c r="Y148" s="18">
        <f t="shared" si="76"/>
        <v>500</v>
      </c>
      <c r="Z148" s="35">
        <f t="shared" si="77"/>
        <v>41.666666666666664</v>
      </c>
      <c r="AA148" s="34">
        <f>AB148/AF148-1</f>
        <v>-1</v>
      </c>
      <c r="AB148" s="11"/>
      <c r="AC148" s="18">
        <f t="shared" si="73"/>
        <v>-800</v>
      </c>
      <c r="AD148" s="35">
        <f t="shared" si="74"/>
        <v>0</v>
      </c>
      <c r="AE148" s="34">
        <f>AF148/AJ148-1</f>
        <v>0.5108593012275733</v>
      </c>
      <c r="AF148" s="11">
        <v>800</v>
      </c>
      <c r="AG148" s="18">
        <f t="shared" si="78"/>
        <v>270.5</v>
      </c>
      <c r="AH148" s="35">
        <f t="shared" si="79"/>
        <v>66.66666666666667</v>
      </c>
      <c r="AI148" s="10">
        <f t="shared" si="80"/>
        <v>1.3533333333333335</v>
      </c>
      <c r="AJ148" s="11">
        <v>529.5</v>
      </c>
      <c r="AK148" s="11">
        <v>225</v>
      </c>
      <c r="AL148" s="3"/>
    </row>
    <row r="149" spans="1:38" ht="15.75">
      <c r="A149" s="12" t="s">
        <v>265</v>
      </c>
      <c r="B149" s="6"/>
      <c r="C149" s="12" t="s">
        <v>266</v>
      </c>
      <c r="D149" s="6"/>
      <c r="E149" s="6"/>
      <c r="F149" s="6"/>
      <c r="G149" s="34" t="e">
        <f t="shared" si="70"/>
        <v>#DIV/0!</v>
      </c>
      <c r="H149" s="11"/>
      <c r="I149" s="18">
        <f t="shared" si="71"/>
        <v>0</v>
      </c>
      <c r="J149" s="35">
        <f t="shared" si="72"/>
        <v>0</v>
      </c>
      <c r="K149" s="34" t="e">
        <f aca="true" t="shared" si="81" ref="K149:K205">L149/P149-1</f>
        <v>#DIV/0!</v>
      </c>
      <c r="L149" s="11"/>
      <c r="M149" s="18">
        <f t="shared" si="62"/>
        <v>0</v>
      </c>
      <c r="N149" s="35">
        <f t="shared" si="63"/>
        <v>0</v>
      </c>
      <c r="O149" s="34">
        <f aca="true" t="shared" si="82" ref="O149:O205">P149/T149-1</f>
        <v>-1</v>
      </c>
      <c r="P149" s="11"/>
      <c r="Q149" s="18">
        <f t="shared" si="64"/>
        <v>-100</v>
      </c>
      <c r="R149" s="35">
        <f t="shared" si="65"/>
        <v>0</v>
      </c>
      <c r="S149" s="34">
        <f aca="true" t="shared" si="83" ref="S149:S205">T149/X149-1</f>
        <v>-0.6592844974446337</v>
      </c>
      <c r="T149" s="11">
        <v>100</v>
      </c>
      <c r="U149" s="18">
        <f t="shared" si="66"/>
        <v>-193.5</v>
      </c>
      <c r="V149" s="35">
        <f t="shared" si="67"/>
        <v>8.333333333333334</v>
      </c>
      <c r="W149" s="34" t="e">
        <f t="shared" si="75"/>
        <v>#DIV/0!</v>
      </c>
      <c r="X149" s="11">
        <v>293.5</v>
      </c>
      <c r="Y149" s="18">
        <f t="shared" si="76"/>
        <v>293.5</v>
      </c>
      <c r="Z149" s="35">
        <f t="shared" si="77"/>
        <v>24.458333333333332</v>
      </c>
      <c r="AA149" s="34"/>
      <c r="AB149" s="11"/>
      <c r="AC149" s="18">
        <f t="shared" si="73"/>
        <v>0</v>
      </c>
      <c r="AD149" s="35">
        <f t="shared" si="74"/>
        <v>0</v>
      </c>
      <c r="AE149" s="34"/>
      <c r="AF149" s="11"/>
      <c r="AG149" s="18">
        <f t="shared" si="78"/>
        <v>0</v>
      </c>
      <c r="AH149" s="35">
        <f t="shared" si="79"/>
        <v>0</v>
      </c>
      <c r="AI149" s="10"/>
      <c r="AJ149" s="11"/>
      <c r="AK149" s="11"/>
      <c r="AL149" s="3"/>
    </row>
    <row r="150" spans="1:38" ht="15.75">
      <c r="A150" s="12" t="s">
        <v>267</v>
      </c>
      <c r="B150" s="6"/>
      <c r="C150" s="12" t="s">
        <v>268</v>
      </c>
      <c r="D150" s="6"/>
      <c r="E150" s="6"/>
      <c r="F150" s="6"/>
      <c r="G150" s="34">
        <f t="shared" si="70"/>
        <v>-1</v>
      </c>
      <c r="H150" s="11"/>
      <c r="I150" s="18">
        <f t="shared" si="71"/>
        <v>-150</v>
      </c>
      <c r="J150" s="35">
        <f t="shared" si="72"/>
        <v>0</v>
      </c>
      <c r="K150" s="34" t="e">
        <f t="shared" si="81"/>
        <v>#DIV/0!</v>
      </c>
      <c r="L150" s="11">
        <v>150</v>
      </c>
      <c r="M150" s="18">
        <f t="shared" si="62"/>
        <v>150</v>
      </c>
      <c r="N150" s="35">
        <f t="shared" si="63"/>
        <v>12.5</v>
      </c>
      <c r="O150" s="34" t="e">
        <f t="shared" si="82"/>
        <v>#DIV/0!</v>
      </c>
      <c r="P150" s="11"/>
      <c r="Q150" s="18">
        <f t="shared" si="64"/>
        <v>0</v>
      </c>
      <c r="R150" s="35">
        <f t="shared" si="65"/>
        <v>0</v>
      </c>
      <c r="S150" s="34" t="e">
        <f t="shared" si="83"/>
        <v>#DIV/0!</v>
      </c>
      <c r="T150" s="11"/>
      <c r="U150" s="18">
        <f t="shared" si="66"/>
        <v>0</v>
      </c>
      <c r="V150" s="35">
        <f t="shared" si="67"/>
        <v>0</v>
      </c>
      <c r="W150" s="34" t="e">
        <f t="shared" si="75"/>
        <v>#DIV/0!</v>
      </c>
      <c r="X150" s="11"/>
      <c r="Y150" s="18">
        <f t="shared" si="76"/>
        <v>0</v>
      </c>
      <c r="Z150" s="35">
        <f t="shared" si="77"/>
        <v>0</v>
      </c>
      <c r="AA150" s="34"/>
      <c r="AB150" s="11"/>
      <c r="AC150" s="18">
        <f t="shared" si="73"/>
        <v>0</v>
      </c>
      <c r="AD150" s="35">
        <f t="shared" si="74"/>
        <v>0</v>
      </c>
      <c r="AE150" s="34"/>
      <c r="AF150" s="11"/>
      <c r="AG150" s="18">
        <f t="shared" si="78"/>
        <v>0</v>
      </c>
      <c r="AH150" s="35">
        <f t="shared" si="79"/>
        <v>0</v>
      </c>
      <c r="AI150" s="10"/>
      <c r="AJ150" s="11"/>
      <c r="AK150" s="11"/>
      <c r="AL150" s="3"/>
    </row>
    <row r="151" spans="1:38" ht="15.75">
      <c r="A151" s="12" t="s">
        <v>269</v>
      </c>
      <c r="B151" s="6"/>
      <c r="C151" s="12" t="s">
        <v>270</v>
      </c>
      <c r="D151" s="6"/>
      <c r="E151" s="6"/>
      <c r="F151" s="6"/>
      <c r="G151" s="34" t="e">
        <f t="shared" si="70"/>
        <v>#DIV/0!</v>
      </c>
      <c r="H151" s="11">
        <v>1000</v>
      </c>
      <c r="I151" s="18">
        <f t="shared" si="71"/>
        <v>1000</v>
      </c>
      <c r="J151" s="35">
        <f t="shared" si="72"/>
        <v>83.33333333333333</v>
      </c>
      <c r="K151" s="34">
        <f t="shared" si="81"/>
        <v>-1</v>
      </c>
      <c r="L151" s="11"/>
      <c r="M151" s="18">
        <f t="shared" si="62"/>
        <v>-1000</v>
      </c>
      <c r="N151" s="35">
        <f t="shared" si="63"/>
        <v>0</v>
      </c>
      <c r="O151" s="34" t="e">
        <f t="shared" si="82"/>
        <v>#DIV/0!</v>
      </c>
      <c r="P151" s="11">
        <v>1000</v>
      </c>
      <c r="Q151" s="18">
        <f t="shared" si="64"/>
        <v>1000</v>
      </c>
      <c r="R151" s="35">
        <f t="shared" si="65"/>
        <v>83.33333333333333</v>
      </c>
      <c r="S151" s="34" t="e">
        <f t="shared" si="83"/>
        <v>#DIV/0!</v>
      </c>
      <c r="T151" s="11"/>
      <c r="U151" s="18">
        <f t="shared" si="66"/>
        <v>0</v>
      </c>
      <c r="V151" s="35">
        <f t="shared" si="67"/>
        <v>0</v>
      </c>
      <c r="W151" s="34" t="e">
        <f t="shared" si="75"/>
        <v>#DIV/0!</v>
      </c>
      <c r="X151" s="11"/>
      <c r="Y151" s="18">
        <f t="shared" si="76"/>
        <v>0</v>
      </c>
      <c r="Z151" s="35">
        <f t="shared" si="77"/>
        <v>0</v>
      </c>
      <c r="AA151" s="34"/>
      <c r="AB151" s="11"/>
      <c r="AC151" s="18">
        <f t="shared" si="73"/>
        <v>0</v>
      </c>
      <c r="AD151" s="35">
        <f t="shared" si="74"/>
        <v>0</v>
      </c>
      <c r="AE151" s="34"/>
      <c r="AF151" s="11"/>
      <c r="AG151" s="18">
        <f t="shared" si="78"/>
        <v>0</v>
      </c>
      <c r="AH151" s="35">
        <f t="shared" si="79"/>
        <v>0</v>
      </c>
      <c r="AI151" s="10"/>
      <c r="AJ151" s="11"/>
      <c r="AK151" s="11"/>
      <c r="AL151" s="3"/>
    </row>
    <row r="152" spans="1:38" ht="15.75">
      <c r="A152" s="12" t="s">
        <v>271</v>
      </c>
      <c r="B152" s="6"/>
      <c r="C152" s="12" t="s">
        <v>272</v>
      </c>
      <c r="D152" s="6"/>
      <c r="E152" s="6"/>
      <c r="F152" s="6"/>
      <c r="G152" s="34" t="e">
        <f t="shared" si="70"/>
        <v>#DIV/0!</v>
      </c>
      <c r="H152" s="11"/>
      <c r="I152" s="18">
        <f t="shared" si="71"/>
        <v>0</v>
      </c>
      <c r="J152" s="35">
        <f t="shared" si="72"/>
        <v>0</v>
      </c>
      <c r="K152" s="34" t="e">
        <f t="shared" si="81"/>
        <v>#DIV/0!</v>
      </c>
      <c r="L152" s="11"/>
      <c r="M152" s="18">
        <f t="shared" si="62"/>
        <v>0</v>
      </c>
      <c r="N152" s="35">
        <f t="shared" si="63"/>
        <v>0</v>
      </c>
      <c r="O152" s="34" t="e">
        <f t="shared" si="82"/>
        <v>#DIV/0!</v>
      </c>
      <c r="P152" s="11"/>
      <c r="Q152" s="18">
        <f t="shared" si="64"/>
        <v>0</v>
      </c>
      <c r="R152" s="35">
        <f t="shared" si="65"/>
        <v>0</v>
      </c>
      <c r="S152" s="34" t="e">
        <f t="shared" si="83"/>
        <v>#DIV/0!</v>
      </c>
      <c r="T152" s="11"/>
      <c r="U152" s="18">
        <f t="shared" si="66"/>
        <v>0</v>
      </c>
      <c r="V152" s="35">
        <f t="shared" si="67"/>
        <v>0</v>
      </c>
      <c r="W152" s="34" t="e">
        <f t="shared" si="75"/>
        <v>#DIV/0!</v>
      </c>
      <c r="X152" s="11"/>
      <c r="Y152" s="18">
        <f t="shared" si="76"/>
        <v>0</v>
      </c>
      <c r="Z152" s="35">
        <f t="shared" si="77"/>
        <v>0</v>
      </c>
      <c r="AA152" s="34"/>
      <c r="AB152" s="11"/>
      <c r="AC152" s="18">
        <f t="shared" si="73"/>
        <v>0</v>
      </c>
      <c r="AD152" s="35">
        <f t="shared" si="74"/>
        <v>0</v>
      </c>
      <c r="AE152" s="34"/>
      <c r="AF152" s="11"/>
      <c r="AG152" s="18">
        <f t="shared" si="78"/>
        <v>0</v>
      </c>
      <c r="AH152" s="35">
        <f t="shared" si="79"/>
        <v>0</v>
      </c>
      <c r="AI152" s="10"/>
      <c r="AJ152" s="11"/>
      <c r="AK152" s="11"/>
      <c r="AL152" s="3"/>
    </row>
    <row r="153" spans="1:38" ht="15.75">
      <c r="A153" s="12" t="s">
        <v>273</v>
      </c>
      <c r="B153" s="6"/>
      <c r="C153" s="12" t="s">
        <v>274</v>
      </c>
      <c r="D153" s="6"/>
      <c r="E153" s="6" t="s">
        <v>273</v>
      </c>
      <c r="F153" s="6">
        <v>3280</v>
      </c>
      <c r="G153" s="34">
        <f t="shared" si="70"/>
        <v>0.1544678940278401</v>
      </c>
      <c r="H153" s="11">
        <v>2571</v>
      </c>
      <c r="I153" s="18">
        <f t="shared" si="71"/>
        <v>344</v>
      </c>
      <c r="J153" s="35">
        <f t="shared" si="72"/>
        <v>214.25</v>
      </c>
      <c r="K153" s="34">
        <f t="shared" si="81"/>
        <v>-0.14081790123456794</v>
      </c>
      <c r="L153" s="11">
        <v>2227</v>
      </c>
      <c r="M153" s="18">
        <f t="shared" si="62"/>
        <v>-365</v>
      </c>
      <c r="N153" s="35">
        <f t="shared" si="63"/>
        <v>185.58333333333334</v>
      </c>
      <c r="O153" s="34">
        <f t="shared" si="82"/>
        <v>0.6348155156102175</v>
      </c>
      <c r="P153" s="11">
        <f>440+2152</f>
        <v>2592</v>
      </c>
      <c r="Q153" s="18">
        <f t="shared" si="64"/>
        <v>1006.5</v>
      </c>
      <c r="R153" s="35">
        <f t="shared" si="65"/>
        <v>216</v>
      </c>
      <c r="S153" s="34">
        <f t="shared" si="83"/>
        <v>-0.16177636796193495</v>
      </c>
      <c r="T153" s="11">
        <v>1585.5</v>
      </c>
      <c r="U153" s="18">
        <f t="shared" si="66"/>
        <v>-306</v>
      </c>
      <c r="V153" s="35">
        <f t="shared" si="67"/>
        <v>132.125</v>
      </c>
      <c r="W153" s="34">
        <f t="shared" si="75"/>
        <v>-0.2230437461491066</v>
      </c>
      <c r="X153" s="11">
        <v>1891.5</v>
      </c>
      <c r="Y153" s="18">
        <f t="shared" si="76"/>
        <v>-543</v>
      </c>
      <c r="Z153" s="35">
        <f t="shared" si="77"/>
        <v>157.625</v>
      </c>
      <c r="AA153" s="34">
        <f>AB153/AF153-1</f>
        <v>-0.2577743902439025</v>
      </c>
      <c r="AB153" s="11">
        <f>97+2337.5</f>
        <v>2434.5</v>
      </c>
      <c r="AC153" s="18">
        <f t="shared" si="73"/>
        <v>-845.5</v>
      </c>
      <c r="AD153" s="35">
        <f t="shared" si="74"/>
        <v>202.875</v>
      </c>
      <c r="AE153" s="34">
        <f>AF153/AJ153-1</f>
        <v>0.0671872458109648</v>
      </c>
      <c r="AF153" s="11">
        <v>3280</v>
      </c>
      <c r="AG153" s="18">
        <f t="shared" si="78"/>
        <v>206.5</v>
      </c>
      <c r="AH153" s="35">
        <f t="shared" si="79"/>
        <v>273.3333333333333</v>
      </c>
      <c r="AI153" s="13"/>
      <c r="AJ153" s="11">
        <v>3073.5</v>
      </c>
      <c r="AK153" s="11"/>
      <c r="AL153" s="3"/>
    </row>
    <row r="154" spans="1:38" ht="15.75">
      <c r="A154" s="12" t="s">
        <v>275</v>
      </c>
      <c r="B154" s="6"/>
      <c r="C154" s="12" t="s">
        <v>276</v>
      </c>
      <c r="D154" s="6"/>
      <c r="E154" s="6" t="s">
        <v>275</v>
      </c>
      <c r="F154" s="6">
        <v>17</v>
      </c>
      <c r="G154" s="36">
        <f t="shared" si="70"/>
        <v>-1</v>
      </c>
      <c r="H154" s="11"/>
      <c r="I154" s="18">
        <f t="shared" si="71"/>
        <v>-534.5</v>
      </c>
      <c r="J154" s="35">
        <f t="shared" si="72"/>
        <v>0</v>
      </c>
      <c r="K154" s="36" t="e">
        <f t="shared" si="81"/>
        <v>#DIV/0!</v>
      </c>
      <c r="L154" s="11">
        <v>534.5</v>
      </c>
      <c r="M154" s="18">
        <f t="shared" si="62"/>
        <v>534.5</v>
      </c>
      <c r="N154" s="35">
        <f t="shared" si="63"/>
        <v>44.541666666666664</v>
      </c>
      <c r="O154" s="36">
        <f t="shared" si="82"/>
        <v>-1</v>
      </c>
      <c r="P154" s="11"/>
      <c r="Q154" s="18">
        <f t="shared" si="64"/>
        <v>-570.5</v>
      </c>
      <c r="R154" s="35">
        <f t="shared" si="65"/>
        <v>0</v>
      </c>
      <c r="S154" s="36" t="e">
        <f t="shared" si="83"/>
        <v>#DIV/0!</v>
      </c>
      <c r="T154" s="11">
        <v>570.5</v>
      </c>
      <c r="U154" s="18">
        <f t="shared" si="66"/>
        <v>570.5</v>
      </c>
      <c r="V154" s="35">
        <f t="shared" si="67"/>
        <v>47.541666666666664</v>
      </c>
      <c r="W154" s="36" t="e">
        <f t="shared" si="75"/>
        <v>#DIV/0!</v>
      </c>
      <c r="X154" s="11"/>
      <c r="Y154" s="18">
        <f t="shared" si="76"/>
        <v>0</v>
      </c>
      <c r="Z154" s="35">
        <f t="shared" si="77"/>
        <v>0</v>
      </c>
      <c r="AA154" s="36"/>
      <c r="AB154" s="11"/>
      <c r="AC154" s="18">
        <f t="shared" si="73"/>
        <v>-17</v>
      </c>
      <c r="AD154" s="35">
        <f t="shared" si="74"/>
        <v>0</v>
      </c>
      <c r="AE154" s="36"/>
      <c r="AF154" s="11">
        <v>17</v>
      </c>
      <c r="AG154" s="18">
        <f t="shared" si="78"/>
        <v>17</v>
      </c>
      <c r="AH154" s="35">
        <f t="shared" si="79"/>
        <v>1.4166666666666667</v>
      </c>
      <c r="AI154" s="10"/>
      <c r="AJ154" s="11"/>
      <c r="AK154" s="11"/>
      <c r="AL154" s="3"/>
    </row>
    <row r="155" spans="1:38" s="20" customFormat="1" ht="15.75">
      <c r="A155" s="15"/>
      <c r="B155" s="16" t="s">
        <v>277</v>
      </c>
      <c r="C155" s="15"/>
      <c r="D155" s="16" t="s">
        <v>278</v>
      </c>
      <c r="E155" s="6"/>
      <c r="F155" s="6"/>
      <c r="G155" s="32">
        <f t="shared" si="70"/>
        <v>7.892442403822649</v>
      </c>
      <c r="H155" s="18">
        <f>SUM(H156:H159)</f>
        <v>18554.17</v>
      </c>
      <c r="I155" s="18">
        <f t="shared" si="71"/>
        <v>16467.659999999996</v>
      </c>
      <c r="J155" s="33">
        <f t="shared" si="72"/>
        <v>1546.180833333333</v>
      </c>
      <c r="K155" s="32">
        <f t="shared" si="81"/>
        <v>-0.9066765424014763</v>
      </c>
      <c r="L155" s="18">
        <f>SUM(L156:L159)</f>
        <v>2086.51</v>
      </c>
      <c r="M155" s="18">
        <f t="shared" si="62"/>
        <v>-20271.32</v>
      </c>
      <c r="N155" s="33">
        <f t="shared" si="63"/>
        <v>173.87583333333336</v>
      </c>
      <c r="O155" s="32">
        <f t="shared" si="82"/>
        <v>-0.021435958891069085</v>
      </c>
      <c r="P155" s="18">
        <f>SUM(P156:P159)</f>
        <v>22357.83</v>
      </c>
      <c r="Q155" s="18">
        <f t="shared" si="64"/>
        <v>-489.76000000000204</v>
      </c>
      <c r="R155" s="33">
        <f t="shared" si="65"/>
        <v>1863.1525000000001</v>
      </c>
      <c r="S155" s="32">
        <f t="shared" si="83"/>
        <v>-0.3895597018813429</v>
      </c>
      <c r="T155" s="18">
        <f>SUM(T156:T159)</f>
        <v>22847.590000000004</v>
      </c>
      <c r="U155" s="18">
        <f t="shared" si="66"/>
        <v>-14580.46</v>
      </c>
      <c r="V155" s="33">
        <f t="shared" si="67"/>
        <v>1903.9658333333336</v>
      </c>
      <c r="W155" s="32">
        <f t="shared" si="75"/>
        <v>1.595205241991402</v>
      </c>
      <c r="X155" s="18">
        <f>SUM(X156:X159)</f>
        <v>37428.05</v>
      </c>
      <c r="Y155" s="18">
        <f t="shared" si="76"/>
        <v>23006.050000000003</v>
      </c>
      <c r="Z155" s="33">
        <f t="shared" si="77"/>
        <v>3119.004166666667</v>
      </c>
      <c r="AA155" s="32">
        <f aca="true" t="shared" si="84" ref="AA155:AA160">AB155/AF155-1</f>
        <v>11.400687876182287</v>
      </c>
      <c r="AB155" s="18">
        <f>SUM(AB156:AB159)</f>
        <v>14422</v>
      </c>
      <c r="AC155" s="18">
        <f t="shared" si="73"/>
        <v>13259</v>
      </c>
      <c r="AD155" s="33">
        <f t="shared" si="74"/>
        <v>1201.8333333333333</v>
      </c>
      <c r="AE155" s="32">
        <f aca="true" t="shared" si="85" ref="AE155:AE160">AF155/AJ155-1</f>
        <v>-0.8754765991299422</v>
      </c>
      <c r="AF155" s="18">
        <f>SUM(AF156:AF159)</f>
        <v>1163</v>
      </c>
      <c r="AG155" s="18">
        <f t="shared" si="78"/>
        <v>-8176.610000000001</v>
      </c>
      <c r="AH155" s="33">
        <f t="shared" si="79"/>
        <v>96.91666666666667</v>
      </c>
      <c r="AI155" s="17">
        <f t="shared" si="80"/>
        <v>3.334227440425088</v>
      </c>
      <c r="AJ155" s="18">
        <f>SUM(AJ156:AJ159)</f>
        <v>9339.61</v>
      </c>
      <c r="AK155" s="18">
        <f>SUM(AK156:AK159)</f>
        <v>2154.85</v>
      </c>
      <c r="AL155" s="19">
        <f>SUM(AL156:AL159)</f>
        <v>0</v>
      </c>
    </row>
    <row r="156" spans="1:38" ht="15.75">
      <c r="A156" s="12" t="s">
        <v>279</v>
      </c>
      <c r="B156" s="6"/>
      <c r="C156" s="12" t="s">
        <v>280</v>
      </c>
      <c r="D156" s="6"/>
      <c r="E156" s="6" t="s">
        <v>279</v>
      </c>
      <c r="F156" s="6">
        <v>1163</v>
      </c>
      <c r="G156" s="34">
        <f t="shared" si="70"/>
        <v>10.435543913713405</v>
      </c>
      <c r="H156" s="11">
        <f>13961.96+4592.21</f>
        <v>18554.17</v>
      </c>
      <c r="I156" s="18">
        <f t="shared" si="71"/>
        <v>16931.67</v>
      </c>
      <c r="J156" s="35">
        <f t="shared" si="72"/>
        <v>1546.180833333333</v>
      </c>
      <c r="K156" s="34">
        <f t="shared" si="81"/>
        <v>-0.9274303454315558</v>
      </c>
      <c r="L156" s="11">
        <v>1622.5</v>
      </c>
      <c r="M156" s="18">
        <f t="shared" si="62"/>
        <v>-20735.33</v>
      </c>
      <c r="N156" s="35">
        <f t="shared" si="63"/>
        <v>135.20833333333334</v>
      </c>
      <c r="O156" s="34" t="e">
        <f t="shared" si="82"/>
        <v>#DIV/0!</v>
      </c>
      <c r="P156" s="11">
        <f>23157.83-800</f>
        <v>22357.83</v>
      </c>
      <c r="Q156" s="18">
        <f t="shared" si="64"/>
        <v>22357.83</v>
      </c>
      <c r="R156" s="35">
        <f t="shared" si="65"/>
        <v>1863.1525000000001</v>
      </c>
      <c r="S156" s="34">
        <f t="shared" si="83"/>
        <v>-1</v>
      </c>
      <c r="T156" s="11">
        <f>5085.5-4485.5-600</f>
        <v>0</v>
      </c>
      <c r="U156" s="18">
        <f t="shared" si="66"/>
        <v>-37008.9</v>
      </c>
      <c r="V156" s="35">
        <f t="shared" si="67"/>
        <v>0</v>
      </c>
      <c r="W156" s="34">
        <f t="shared" si="75"/>
        <v>1.566142005269727</v>
      </c>
      <c r="X156" s="11">
        <v>37008.9</v>
      </c>
      <c r="Y156" s="18">
        <f t="shared" si="76"/>
        <v>22586.9</v>
      </c>
      <c r="Z156" s="35">
        <f t="shared" si="77"/>
        <v>3084.0750000000003</v>
      </c>
      <c r="AA156" s="34">
        <f t="shared" si="84"/>
        <v>11.400687876182287</v>
      </c>
      <c r="AB156" s="11">
        <v>14422</v>
      </c>
      <c r="AC156" s="18">
        <f t="shared" si="73"/>
        <v>13259</v>
      </c>
      <c r="AD156" s="35">
        <f t="shared" si="74"/>
        <v>1201.8333333333333</v>
      </c>
      <c r="AE156" s="34">
        <f t="shared" si="85"/>
        <v>-0.5687801260659993</v>
      </c>
      <c r="AF156" s="11">
        <v>1163</v>
      </c>
      <c r="AG156" s="18">
        <f t="shared" si="78"/>
        <v>-1534</v>
      </c>
      <c r="AH156" s="35">
        <f t="shared" si="79"/>
        <v>96.91666666666667</v>
      </c>
      <c r="AI156" s="10">
        <f t="shared" si="80"/>
        <v>35.032064128256515</v>
      </c>
      <c r="AJ156" s="11">
        <v>2697</v>
      </c>
      <c r="AK156" s="11">
        <v>74.85</v>
      </c>
      <c r="AL156" s="3"/>
    </row>
    <row r="157" spans="1:38" ht="15.75">
      <c r="A157" s="12" t="s">
        <v>281</v>
      </c>
      <c r="B157" s="6"/>
      <c r="C157" s="12" t="s">
        <v>282</v>
      </c>
      <c r="D157" s="6"/>
      <c r="E157" s="6"/>
      <c r="F157" s="6"/>
      <c r="G157" s="34">
        <f t="shared" si="70"/>
        <v>-1</v>
      </c>
      <c r="H157" s="11"/>
      <c r="I157" s="18">
        <f t="shared" si="71"/>
        <v>-464.01</v>
      </c>
      <c r="J157" s="35">
        <f t="shared" si="72"/>
        <v>0</v>
      </c>
      <c r="K157" s="34" t="e">
        <f t="shared" si="81"/>
        <v>#DIV/0!</v>
      </c>
      <c r="L157" s="11">
        <v>464.01</v>
      </c>
      <c r="M157" s="18">
        <f t="shared" si="62"/>
        <v>464.01</v>
      </c>
      <c r="N157" s="35">
        <f t="shared" si="63"/>
        <v>38.6675</v>
      </c>
      <c r="O157" s="34">
        <f t="shared" si="82"/>
        <v>-1</v>
      </c>
      <c r="P157" s="11"/>
      <c r="Q157" s="18">
        <f t="shared" si="64"/>
        <v>-3012.4</v>
      </c>
      <c r="R157" s="35">
        <f t="shared" si="65"/>
        <v>0</v>
      </c>
      <c r="S157" s="34">
        <f t="shared" si="83"/>
        <v>6.186925921507814</v>
      </c>
      <c r="T157" s="11">
        <v>3012.4</v>
      </c>
      <c r="U157" s="18">
        <f t="shared" si="66"/>
        <v>2593.25</v>
      </c>
      <c r="V157" s="35">
        <f t="shared" si="67"/>
        <v>251.03333333333333</v>
      </c>
      <c r="W157" s="34" t="e">
        <f t="shared" si="75"/>
        <v>#DIV/0!</v>
      </c>
      <c r="X157" s="11">
        <v>419.15</v>
      </c>
      <c r="Y157" s="18">
        <f t="shared" si="76"/>
        <v>419.15</v>
      </c>
      <c r="Z157" s="35">
        <f t="shared" si="77"/>
        <v>34.92916666666667</v>
      </c>
      <c r="AA157" s="34" t="e">
        <f t="shared" si="84"/>
        <v>#DIV/0!</v>
      </c>
      <c r="AB157" s="11"/>
      <c r="AC157" s="18">
        <f t="shared" si="73"/>
        <v>0</v>
      </c>
      <c r="AD157" s="35">
        <f t="shared" si="74"/>
        <v>0</v>
      </c>
      <c r="AE157" s="34">
        <f t="shared" si="85"/>
        <v>-1</v>
      </c>
      <c r="AF157" s="11"/>
      <c r="AG157" s="18">
        <f t="shared" si="78"/>
        <v>-360</v>
      </c>
      <c r="AH157" s="35">
        <f t="shared" si="79"/>
        <v>0</v>
      </c>
      <c r="AI157" s="10"/>
      <c r="AJ157" s="11">
        <v>360</v>
      </c>
      <c r="AK157" s="11"/>
      <c r="AL157" s="3"/>
    </row>
    <row r="158" spans="1:38" ht="15.75">
      <c r="A158" s="12" t="s">
        <v>283</v>
      </c>
      <c r="B158" s="6"/>
      <c r="C158" s="12" t="s">
        <v>284</v>
      </c>
      <c r="D158" s="6"/>
      <c r="E158" s="6"/>
      <c r="F158" s="6"/>
      <c r="G158" s="34" t="e">
        <f t="shared" si="70"/>
        <v>#DIV/0!</v>
      </c>
      <c r="H158" s="11"/>
      <c r="I158" s="18">
        <f t="shared" si="71"/>
        <v>0</v>
      </c>
      <c r="J158" s="35">
        <f t="shared" si="72"/>
        <v>0</v>
      </c>
      <c r="K158" s="34" t="e">
        <f t="shared" si="81"/>
        <v>#DIV/0!</v>
      </c>
      <c r="L158" s="11"/>
      <c r="M158" s="18">
        <f t="shared" si="62"/>
        <v>0</v>
      </c>
      <c r="N158" s="35">
        <f t="shared" si="63"/>
        <v>0</v>
      </c>
      <c r="O158" s="34" t="e">
        <f t="shared" si="82"/>
        <v>#DIV/0!</v>
      </c>
      <c r="P158" s="11"/>
      <c r="Q158" s="18">
        <f t="shared" si="64"/>
        <v>0</v>
      </c>
      <c r="R158" s="35">
        <f t="shared" si="65"/>
        <v>0</v>
      </c>
      <c r="S158" s="34" t="e">
        <f t="shared" si="83"/>
        <v>#DIV/0!</v>
      </c>
      <c r="T158" s="11"/>
      <c r="U158" s="18">
        <f t="shared" si="66"/>
        <v>0</v>
      </c>
      <c r="V158" s="35">
        <f t="shared" si="67"/>
        <v>0</v>
      </c>
      <c r="W158" s="34" t="e">
        <f t="shared" si="75"/>
        <v>#DIV/0!</v>
      </c>
      <c r="X158" s="11"/>
      <c r="Y158" s="18">
        <f t="shared" si="76"/>
        <v>0</v>
      </c>
      <c r="Z158" s="35">
        <f t="shared" si="77"/>
        <v>0</v>
      </c>
      <c r="AA158" s="34" t="e">
        <f t="shared" si="84"/>
        <v>#DIV/0!</v>
      </c>
      <c r="AB158" s="11"/>
      <c r="AC158" s="18">
        <f t="shared" si="73"/>
        <v>0</v>
      </c>
      <c r="AD158" s="35">
        <f t="shared" si="74"/>
        <v>0</v>
      </c>
      <c r="AE158" s="34">
        <f t="shared" si="85"/>
        <v>-1</v>
      </c>
      <c r="AF158" s="11"/>
      <c r="AG158" s="18">
        <f t="shared" si="78"/>
        <v>-3642.12</v>
      </c>
      <c r="AH158" s="35">
        <f t="shared" si="79"/>
        <v>0</v>
      </c>
      <c r="AI158" s="10">
        <f t="shared" si="80"/>
        <v>0.7510192307692307</v>
      </c>
      <c r="AJ158" s="11">
        <v>3642.12</v>
      </c>
      <c r="AK158" s="11">
        <v>2080</v>
      </c>
      <c r="AL158" s="3"/>
    </row>
    <row r="159" spans="1:38" ht="15.75">
      <c r="A159" s="12" t="s">
        <v>285</v>
      </c>
      <c r="B159" s="6"/>
      <c r="C159" s="12" t="s">
        <v>286</v>
      </c>
      <c r="D159" s="6"/>
      <c r="E159" s="6"/>
      <c r="F159" s="6"/>
      <c r="G159" s="34" t="e">
        <f t="shared" si="70"/>
        <v>#DIV/0!</v>
      </c>
      <c r="H159" s="11"/>
      <c r="I159" s="18">
        <f t="shared" si="71"/>
        <v>0</v>
      </c>
      <c r="J159" s="35">
        <f t="shared" si="72"/>
        <v>0</v>
      </c>
      <c r="K159" s="34" t="e">
        <f t="shared" si="81"/>
        <v>#DIV/0!</v>
      </c>
      <c r="L159" s="11"/>
      <c r="M159" s="18">
        <f t="shared" si="62"/>
        <v>0</v>
      </c>
      <c r="N159" s="35">
        <f t="shared" si="63"/>
        <v>0</v>
      </c>
      <c r="O159" s="34">
        <f t="shared" si="82"/>
        <v>-1</v>
      </c>
      <c r="P159" s="11"/>
      <c r="Q159" s="18">
        <f t="shared" si="64"/>
        <v>-19835.190000000002</v>
      </c>
      <c r="R159" s="35">
        <f t="shared" si="65"/>
        <v>0</v>
      </c>
      <c r="S159" s="34" t="e">
        <f t="shared" si="83"/>
        <v>#DIV/0!</v>
      </c>
      <c r="T159" s="11">
        <f>14749.69+4485.5+600</f>
        <v>19835.190000000002</v>
      </c>
      <c r="U159" s="18">
        <f t="shared" si="66"/>
        <v>19835.190000000002</v>
      </c>
      <c r="V159" s="35">
        <f t="shared" si="67"/>
        <v>1652.9325000000001</v>
      </c>
      <c r="W159" s="34" t="e">
        <f t="shared" si="75"/>
        <v>#DIV/0!</v>
      </c>
      <c r="X159" s="11"/>
      <c r="Y159" s="18">
        <f t="shared" si="76"/>
        <v>0</v>
      </c>
      <c r="Z159" s="35">
        <f t="shared" si="77"/>
        <v>0</v>
      </c>
      <c r="AA159" s="34" t="e">
        <f t="shared" si="84"/>
        <v>#DIV/0!</v>
      </c>
      <c r="AB159" s="11"/>
      <c r="AC159" s="18">
        <f t="shared" si="73"/>
        <v>0</v>
      </c>
      <c r="AD159" s="35">
        <f t="shared" si="74"/>
        <v>0</v>
      </c>
      <c r="AE159" s="34">
        <f t="shared" si="85"/>
        <v>-1</v>
      </c>
      <c r="AF159" s="11"/>
      <c r="AG159" s="18">
        <f t="shared" si="78"/>
        <v>-2640.49</v>
      </c>
      <c r="AH159" s="35">
        <f t="shared" si="79"/>
        <v>0</v>
      </c>
      <c r="AI159" s="13"/>
      <c r="AJ159" s="11">
        <v>2640.49</v>
      </c>
      <c r="AK159" s="11"/>
      <c r="AL159" s="3"/>
    </row>
    <row r="160" spans="1:38" s="20" customFormat="1" ht="15.75">
      <c r="A160" s="15"/>
      <c r="B160" s="16" t="s">
        <v>287</v>
      </c>
      <c r="C160" s="15"/>
      <c r="D160" s="16" t="s">
        <v>288</v>
      </c>
      <c r="E160" s="6"/>
      <c r="F160" s="6"/>
      <c r="G160" s="32">
        <f t="shared" si="70"/>
        <v>-0.08632292190178847</v>
      </c>
      <c r="H160" s="18">
        <f>SUM(H161:H167,H170:H172)</f>
        <v>20507.079999999998</v>
      </c>
      <c r="I160" s="18">
        <f t="shared" si="71"/>
        <v>-1937.4800000000068</v>
      </c>
      <c r="J160" s="33">
        <f t="shared" si="72"/>
        <v>1708.9233333333332</v>
      </c>
      <c r="K160" s="32">
        <f t="shared" si="81"/>
        <v>0.06936806707634902</v>
      </c>
      <c r="L160" s="18">
        <f>SUM(L161:L167,L170:L172)</f>
        <v>22444.560000000005</v>
      </c>
      <c r="M160" s="18">
        <f t="shared" si="62"/>
        <v>1455.9400000000023</v>
      </c>
      <c r="N160" s="33">
        <f t="shared" si="63"/>
        <v>1870.3800000000003</v>
      </c>
      <c r="O160" s="32">
        <f t="shared" si="82"/>
        <v>-0.2224737998303331</v>
      </c>
      <c r="P160" s="18">
        <f>SUM(P162:P167,P170:P172)</f>
        <v>20988.620000000003</v>
      </c>
      <c r="Q160" s="18">
        <f t="shared" si="64"/>
        <v>-6005.479999999996</v>
      </c>
      <c r="R160" s="33">
        <f t="shared" si="65"/>
        <v>1749.051666666667</v>
      </c>
      <c r="S160" s="32">
        <f t="shared" si="83"/>
        <v>-0.11169927278339442</v>
      </c>
      <c r="T160" s="18">
        <f>SUM(T162:T167,T170:T172)</f>
        <v>26994.1</v>
      </c>
      <c r="U160" s="18">
        <f t="shared" si="66"/>
        <v>-3394.369999999999</v>
      </c>
      <c r="V160" s="33">
        <f t="shared" si="67"/>
        <v>2249.508333333333</v>
      </c>
      <c r="W160" s="32">
        <f t="shared" si="75"/>
        <v>0.1694435454356884</v>
      </c>
      <c r="X160" s="18">
        <f>SUM(X162:X167,X170:X172)</f>
        <v>30388.469999999998</v>
      </c>
      <c r="Y160" s="18">
        <f t="shared" si="76"/>
        <v>4403.059999999994</v>
      </c>
      <c r="Z160" s="33">
        <f t="shared" si="77"/>
        <v>2532.3725</v>
      </c>
      <c r="AA160" s="32">
        <f t="shared" si="84"/>
        <v>-0.28432395363120333</v>
      </c>
      <c r="AB160" s="18">
        <f>SUM(AB162:AB167,AB170:AB172)</f>
        <v>25985.410000000003</v>
      </c>
      <c r="AC160" s="18">
        <f t="shared" si="73"/>
        <v>-10323.489999999998</v>
      </c>
      <c r="AD160" s="33">
        <f t="shared" si="74"/>
        <v>2165.450833333334</v>
      </c>
      <c r="AE160" s="32">
        <f t="shared" si="85"/>
        <v>0.6192927788771105</v>
      </c>
      <c r="AF160" s="18">
        <f>SUM(AF162:AF167,AF170:AF171)</f>
        <v>36308.9</v>
      </c>
      <c r="AG160" s="18">
        <f t="shared" si="78"/>
        <v>13886.21</v>
      </c>
      <c r="AH160" s="33">
        <f t="shared" si="79"/>
        <v>3025.741666666667</v>
      </c>
      <c r="AI160" s="17">
        <f t="shared" si="80"/>
        <v>0.06521801095114177</v>
      </c>
      <c r="AJ160" s="18">
        <f>SUM(AJ162:AJ167,AJ170:AJ171)</f>
        <v>22422.690000000002</v>
      </c>
      <c r="AK160" s="18">
        <f>SUM(AK162:AK167,AK170:AK171)</f>
        <v>21049.86</v>
      </c>
      <c r="AL160" s="19">
        <f>SUM(AL162:AL167,AL170:AL171)</f>
        <v>0</v>
      </c>
    </row>
    <row r="161" spans="1:38" s="20" customFormat="1" ht="15.75">
      <c r="A161" s="15">
        <v>20800</v>
      </c>
      <c r="B161" s="16"/>
      <c r="C161" s="15" t="s">
        <v>548</v>
      </c>
      <c r="D161" s="16"/>
      <c r="E161" s="6"/>
      <c r="F161" s="6"/>
      <c r="G161" s="32"/>
      <c r="H161" s="18"/>
      <c r="I161" s="18"/>
      <c r="J161" s="33"/>
      <c r="K161" s="32"/>
      <c r="L161" s="18">
        <v>10.4</v>
      </c>
      <c r="M161" s="18"/>
      <c r="N161" s="33"/>
      <c r="O161" s="32"/>
      <c r="P161" s="18"/>
      <c r="Q161" s="18"/>
      <c r="R161" s="33"/>
      <c r="S161" s="32"/>
      <c r="T161" s="18"/>
      <c r="U161" s="18"/>
      <c r="V161" s="33"/>
      <c r="W161" s="32"/>
      <c r="X161" s="18"/>
      <c r="Y161" s="18"/>
      <c r="Z161" s="33"/>
      <c r="AA161" s="32"/>
      <c r="AB161" s="18"/>
      <c r="AC161" s="18"/>
      <c r="AD161" s="33"/>
      <c r="AE161" s="32"/>
      <c r="AF161" s="18"/>
      <c r="AG161" s="18"/>
      <c r="AH161" s="33"/>
      <c r="AI161" s="17"/>
      <c r="AJ161" s="18"/>
      <c r="AK161" s="18"/>
      <c r="AL161" s="19"/>
    </row>
    <row r="162" spans="1:38" ht="15.75">
      <c r="A162" s="12" t="s">
        <v>289</v>
      </c>
      <c r="B162" s="6"/>
      <c r="C162" s="12" t="s">
        <v>207</v>
      </c>
      <c r="D162" s="6"/>
      <c r="E162" s="6"/>
      <c r="F162" s="6"/>
      <c r="G162" s="34">
        <f aca="true" t="shared" si="86" ref="G162:G205">H162/L162-1</f>
        <v>0.009301086409519987</v>
      </c>
      <c r="H162" s="11">
        <v>1704.76</v>
      </c>
      <c r="I162" s="18">
        <f aca="true" t="shared" si="87" ref="I162:I172">+H162-L162</f>
        <v>15.709999999999809</v>
      </c>
      <c r="J162" s="35">
        <f aca="true" t="shared" si="88" ref="J162:J172">+H162/12</f>
        <v>142.06333333333333</v>
      </c>
      <c r="K162" s="34">
        <f t="shared" si="81"/>
        <v>-0.10226155358898714</v>
      </c>
      <c r="L162" s="11">
        <f>1416.91+272.14</f>
        <v>1689.0500000000002</v>
      </c>
      <c r="M162" s="18">
        <f t="shared" si="62"/>
        <v>-192.39999999999986</v>
      </c>
      <c r="N162" s="35">
        <f t="shared" si="63"/>
        <v>140.7541666666667</v>
      </c>
      <c r="O162" s="34">
        <f t="shared" si="82"/>
        <v>0.12262372161294555</v>
      </c>
      <c r="P162" s="11">
        <v>1881.45</v>
      </c>
      <c r="Q162" s="18">
        <f t="shared" si="64"/>
        <v>205.51</v>
      </c>
      <c r="R162" s="35">
        <f t="shared" si="65"/>
        <v>156.7875</v>
      </c>
      <c r="S162" s="34">
        <f t="shared" si="83"/>
        <v>0.017355146143806843</v>
      </c>
      <c r="T162" s="11">
        <f>1416.91+259.03</f>
        <v>1675.94</v>
      </c>
      <c r="U162" s="18">
        <f t="shared" si="66"/>
        <v>28.590000000000146</v>
      </c>
      <c r="V162" s="35">
        <f t="shared" si="67"/>
        <v>139.66166666666666</v>
      </c>
      <c r="W162" s="34" t="e">
        <f t="shared" si="75"/>
        <v>#DIV/0!</v>
      </c>
      <c r="X162" s="11">
        <v>1647.35</v>
      </c>
      <c r="Y162" s="18">
        <f t="shared" si="76"/>
        <v>1647.35</v>
      </c>
      <c r="Z162" s="35">
        <f t="shared" si="77"/>
        <v>137.27916666666667</v>
      </c>
      <c r="AA162" s="34"/>
      <c r="AB162" s="11"/>
      <c r="AC162" s="18">
        <f t="shared" si="73"/>
        <v>0</v>
      </c>
      <c r="AD162" s="35">
        <f t="shared" si="74"/>
        <v>0</v>
      </c>
      <c r="AE162" s="34"/>
      <c r="AF162" s="11"/>
      <c r="AG162" s="18">
        <f t="shared" si="78"/>
        <v>0</v>
      </c>
      <c r="AH162" s="35">
        <f t="shared" si="79"/>
        <v>0</v>
      </c>
      <c r="AI162" s="10"/>
      <c r="AJ162" s="11"/>
      <c r="AK162" s="11"/>
      <c r="AL162" s="3"/>
    </row>
    <row r="163" spans="1:38" ht="15.75">
      <c r="A163" s="12" t="s">
        <v>290</v>
      </c>
      <c r="B163" s="6"/>
      <c r="C163" s="12" t="s">
        <v>291</v>
      </c>
      <c r="D163" s="6"/>
      <c r="E163" s="6" t="s">
        <v>290</v>
      </c>
      <c r="F163" s="6">
        <v>8284.74</v>
      </c>
      <c r="G163" s="34">
        <f t="shared" si="86"/>
        <v>-0.1936957262217236</v>
      </c>
      <c r="H163" s="11">
        <v>10060.46</v>
      </c>
      <c r="I163" s="18">
        <f t="shared" si="87"/>
        <v>-2416.790000000001</v>
      </c>
      <c r="J163" s="35">
        <f t="shared" si="88"/>
        <v>838.3716666666666</v>
      </c>
      <c r="K163" s="34">
        <f t="shared" si="81"/>
        <v>0.09327862230552131</v>
      </c>
      <c r="L163" s="11">
        <v>12477.25</v>
      </c>
      <c r="M163" s="18">
        <f t="shared" si="62"/>
        <v>1064.5599999999995</v>
      </c>
      <c r="N163" s="35">
        <f t="shared" si="63"/>
        <v>1039.7708333333333</v>
      </c>
      <c r="O163" s="34">
        <f t="shared" si="82"/>
        <v>0.1271814857905893</v>
      </c>
      <c r="P163" s="11">
        <v>11412.69</v>
      </c>
      <c r="Q163" s="18">
        <f t="shared" si="64"/>
        <v>1287.710000000001</v>
      </c>
      <c r="R163" s="35">
        <f t="shared" si="65"/>
        <v>951.0575</v>
      </c>
      <c r="S163" s="34">
        <f t="shared" si="83"/>
        <v>-0.2841516880266799</v>
      </c>
      <c r="T163" s="11">
        <v>10124.98</v>
      </c>
      <c r="U163" s="18">
        <f t="shared" si="66"/>
        <v>-4019.050000000001</v>
      </c>
      <c r="V163" s="35">
        <f t="shared" si="67"/>
        <v>843.7483333333333</v>
      </c>
      <c r="W163" s="34">
        <f t="shared" si="75"/>
        <v>0.2610852942644992</v>
      </c>
      <c r="X163" s="11">
        <v>14144.03</v>
      </c>
      <c r="Y163" s="18">
        <f t="shared" si="76"/>
        <v>2928.2700000000004</v>
      </c>
      <c r="Z163" s="35">
        <f t="shared" si="77"/>
        <v>1178.6691666666668</v>
      </c>
      <c r="AA163" s="34">
        <f aca="true" t="shared" si="89" ref="AA163:AA169">AB163/AF163-1</f>
        <v>0.3537853933859121</v>
      </c>
      <c r="AB163" s="11">
        <v>11215.76</v>
      </c>
      <c r="AC163" s="18">
        <f t="shared" si="73"/>
        <v>2931.0200000000004</v>
      </c>
      <c r="AD163" s="35">
        <f t="shared" si="74"/>
        <v>934.6466666666666</v>
      </c>
      <c r="AE163" s="34">
        <f aca="true" t="shared" si="90" ref="AE163:AE169">AF163/AJ163-1</f>
        <v>-0.14965949388525945</v>
      </c>
      <c r="AF163" s="11">
        <v>8284.74</v>
      </c>
      <c r="AG163" s="18">
        <f t="shared" si="78"/>
        <v>-1458.1100000000006</v>
      </c>
      <c r="AH163" s="35">
        <f t="shared" si="79"/>
        <v>690.395</v>
      </c>
      <c r="AI163" s="10">
        <f t="shared" si="80"/>
        <v>-0.013531122898924552</v>
      </c>
      <c r="AJ163" s="11">
        <v>9742.85</v>
      </c>
      <c r="AK163" s="11">
        <v>9876.49</v>
      </c>
      <c r="AL163" s="3"/>
    </row>
    <row r="164" spans="1:38" ht="15.75">
      <c r="A164" s="12" t="s">
        <v>292</v>
      </c>
      <c r="B164" s="6"/>
      <c r="C164" s="12" t="s">
        <v>293</v>
      </c>
      <c r="D164" s="6"/>
      <c r="E164" s="6" t="s">
        <v>292</v>
      </c>
      <c r="F164" s="6">
        <v>8751.58</v>
      </c>
      <c r="G164" s="34">
        <f t="shared" si="86"/>
        <v>-0.10512922400278701</v>
      </c>
      <c r="H164" s="11">
        <v>3287.97</v>
      </c>
      <c r="I164" s="18">
        <f t="shared" si="87"/>
        <v>-386.27</v>
      </c>
      <c r="J164" s="35">
        <f t="shared" si="88"/>
        <v>273.9975</v>
      </c>
      <c r="K164" s="34">
        <f t="shared" si="81"/>
        <v>0.09853587947390907</v>
      </c>
      <c r="L164" s="11">
        <v>3674.24</v>
      </c>
      <c r="M164" s="18">
        <f t="shared" si="62"/>
        <v>329.5699999999997</v>
      </c>
      <c r="N164" s="35">
        <f t="shared" si="63"/>
        <v>306.18666666666667</v>
      </c>
      <c r="O164" s="34">
        <f t="shared" si="82"/>
        <v>-0.3339433646646488</v>
      </c>
      <c r="P164" s="11">
        <v>3344.67</v>
      </c>
      <c r="Q164" s="18">
        <f t="shared" si="64"/>
        <v>-1676.9300000000003</v>
      </c>
      <c r="R164" s="35">
        <f t="shared" si="65"/>
        <v>278.7225</v>
      </c>
      <c r="S164" s="34">
        <f t="shared" si="83"/>
        <v>0.13593126864810712</v>
      </c>
      <c r="T164" s="11">
        <v>5021.6</v>
      </c>
      <c r="U164" s="18">
        <f t="shared" si="66"/>
        <v>600.9100000000008</v>
      </c>
      <c r="V164" s="35">
        <f t="shared" si="67"/>
        <v>418.4666666666667</v>
      </c>
      <c r="W164" s="34">
        <f t="shared" si="75"/>
        <v>-0.030020778890227473</v>
      </c>
      <c r="X164" s="11">
        <v>4420.69</v>
      </c>
      <c r="Y164" s="18">
        <f t="shared" si="76"/>
        <v>-136.82000000000062</v>
      </c>
      <c r="Z164" s="35">
        <f t="shared" si="77"/>
        <v>368.3908333333333</v>
      </c>
      <c r="AA164" s="34">
        <f t="shared" si="89"/>
        <v>-0.4792357494303885</v>
      </c>
      <c r="AB164" s="11">
        <v>4557.51</v>
      </c>
      <c r="AC164" s="18">
        <f t="shared" si="73"/>
        <v>-4194.07</v>
      </c>
      <c r="AD164" s="35">
        <f t="shared" si="74"/>
        <v>379.7925</v>
      </c>
      <c r="AE164" s="34">
        <f t="shared" si="90"/>
        <v>4.095712222843302</v>
      </c>
      <c r="AF164" s="11">
        <v>8751.58</v>
      </c>
      <c r="AG164" s="18">
        <f t="shared" si="78"/>
        <v>7034.139999999999</v>
      </c>
      <c r="AH164" s="35">
        <f t="shared" si="79"/>
        <v>729.2983333333333</v>
      </c>
      <c r="AI164" s="10">
        <f t="shared" si="80"/>
        <v>0.5256504783647653</v>
      </c>
      <c r="AJ164" s="11">
        <v>1717.44</v>
      </c>
      <c r="AK164" s="11">
        <v>1125.71</v>
      </c>
      <c r="AL164" s="3"/>
    </row>
    <row r="165" spans="1:38" ht="15.75">
      <c r="A165" s="12" t="s">
        <v>294</v>
      </c>
      <c r="B165" s="6"/>
      <c r="C165" s="12" t="s">
        <v>295</v>
      </c>
      <c r="D165" s="6"/>
      <c r="E165" s="6" t="s">
        <v>294</v>
      </c>
      <c r="F165" s="6">
        <v>833.9</v>
      </c>
      <c r="G165" s="34">
        <f t="shared" si="86"/>
        <v>-0.4944849328207427</v>
      </c>
      <c r="H165" s="11">
        <v>643</v>
      </c>
      <c r="I165" s="18">
        <f t="shared" si="87"/>
        <v>-628.97</v>
      </c>
      <c r="J165" s="35">
        <f t="shared" si="88"/>
        <v>53.583333333333336</v>
      </c>
      <c r="K165" s="34">
        <f t="shared" si="81"/>
        <v>0.9330851063829788</v>
      </c>
      <c r="L165" s="11">
        <v>1271.97</v>
      </c>
      <c r="M165" s="18">
        <f t="shared" si="62"/>
        <v>613.97</v>
      </c>
      <c r="N165" s="35">
        <f t="shared" si="63"/>
        <v>105.9975</v>
      </c>
      <c r="O165" s="34">
        <f t="shared" si="82"/>
        <v>-0.2832244008714597</v>
      </c>
      <c r="P165" s="11">
        <v>658</v>
      </c>
      <c r="Q165" s="18">
        <f t="shared" si="64"/>
        <v>-260</v>
      </c>
      <c r="R165" s="35">
        <f t="shared" si="65"/>
        <v>54.833333333333336</v>
      </c>
      <c r="S165" s="34">
        <f t="shared" si="83"/>
        <v>0.2006277792309703</v>
      </c>
      <c r="T165" s="11">
        <v>918</v>
      </c>
      <c r="U165" s="18">
        <f t="shared" si="66"/>
        <v>153.39999999999998</v>
      </c>
      <c r="V165" s="35">
        <f t="shared" si="67"/>
        <v>76.5</v>
      </c>
      <c r="W165" s="34">
        <f t="shared" si="75"/>
        <v>1.6678297278436847</v>
      </c>
      <c r="X165" s="11">
        <f>292.8+471.8</f>
        <v>764.6</v>
      </c>
      <c r="Y165" s="18">
        <f t="shared" si="76"/>
        <v>478</v>
      </c>
      <c r="Z165" s="35">
        <f t="shared" si="77"/>
        <v>63.71666666666667</v>
      </c>
      <c r="AA165" s="34">
        <f t="shared" si="89"/>
        <v>-0.656313706679458</v>
      </c>
      <c r="AB165" s="11">
        <v>286.6</v>
      </c>
      <c r="AC165" s="18">
        <f t="shared" si="73"/>
        <v>-547.3</v>
      </c>
      <c r="AD165" s="35">
        <f t="shared" si="74"/>
        <v>23.883333333333336</v>
      </c>
      <c r="AE165" s="34">
        <f t="shared" si="90"/>
        <v>0.02621215850356884</v>
      </c>
      <c r="AF165" s="11">
        <v>833.9</v>
      </c>
      <c r="AG165" s="18">
        <f t="shared" si="78"/>
        <v>21.299999999999955</v>
      </c>
      <c r="AH165" s="35">
        <f t="shared" si="79"/>
        <v>69.49166666666666</v>
      </c>
      <c r="AI165" s="10">
        <f t="shared" si="80"/>
        <v>3.085470085470085</v>
      </c>
      <c r="AJ165" s="11">
        <v>812.6</v>
      </c>
      <c r="AK165" s="11">
        <v>198.9</v>
      </c>
      <c r="AL165" s="3"/>
    </row>
    <row r="166" spans="1:38" ht="15.75">
      <c r="A166" s="12" t="s">
        <v>296</v>
      </c>
      <c r="B166" s="6"/>
      <c r="C166" s="12" t="s">
        <v>297</v>
      </c>
      <c r="D166" s="6"/>
      <c r="E166" s="6" t="s">
        <v>296</v>
      </c>
      <c r="F166" s="6">
        <v>7042.86</v>
      </c>
      <c r="G166" s="34" t="e">
        <f t="shared" si="86"/>
        <v>#DIV/0!</v>
      </c>
      <c r="H166" s="11"/>
      <c r="I166" s="18">
        <f t="shared" si="87"/>
        <v>0</v>
      </c>
      <c r="J166" s="35">
        <f t="shared" si="88"/>
        <v>0</v>
      </c>
      <c r="K166" s="34" t="e">
        <f t="shared" si="81"/>
        <v>#DIV/0!</v>
      </c>
      <c r="L166" s="11"/>
      <c r="M166" s="18">
        <f t="shared" si="62"/>
        <v>0</v>
      </c>
      <c r="N166" s="35">
        <f t="shared" si="63"/>
        <v>0</v>
      </c>
      <c r="O166" s="34">
        <f t="shared" si="82"/>
        <v>-1</v>
      </c>
      <c r="P166" s="11"/>
      <c r="Q166" s="18">
        <f t="shared" si="64"/>
        <v>-338.38</v>
      </c>
      <c r="R166" s="35">
        <f t="shared" si="65"/>
        <v>0</v>
      </c>
      <c r="S166" s="34" t="e">
        <f t="shared" si="83"/>
        <v>#DIV/0!</v>
      </c>
      <c r="T166" s="11">
        <v>338.38</v>
      </c>
      <c r="U166" s="18">
        <f t="shared" si="66"/>
        <v>338.38</v>
      </c>
      <c r="V166" s="35">
        <f t="shared" si="67"/>
        <v>28.198333333333334</v>
      </c>
      <c r="W166" s="34">
        <f t="shared" si="75"/>
        <v>-1</v>
      </c>
      <c r="X166" s="11"/>
      <c r="Y166" s="18">
        <f t="shared" si="76"/>
        <v>-15.12</v>
      </c>
      <c r="Z166" s="35">
        <f t="shared" si="77"/>
        <v>0</v>
      </c>
      <c r="AA166" s="34">
        <f t="shared" si="89"/>
        <v>-0.9978531448871624</v>
      </c>
      <c r="AB166" s="11">
        <v>15.12</v>
      </c>
      <c r="AC166" s="18">
        <f t="shared" si="73"/>
        <v>-7027.74</v>
      </c>
      <c r="AD166" s="35">
        <f t="shared" si="74"/>
        <v>1.26</v>
      </c>
      <c r="AE166" s="34">
        <f t="shared" si="90"/>
        <v>0.2538204631554961</v>
      </c>
      <c r="AF166" s="11">
        <v>7042.86</v>
      </c>
      <c r="AG166" s="18">
        <f t="shared" si="78"/>
        <v>1425.7399999999998</v>
      </c>
      <c r="AH166" s="35">
        <f t="shared" si="79"/>
        <v>586.905</v>
      </c>
      <c r="AI166" s="10">
        <f t="shared" si="80"/>
        <v>0.1713949666752863</v>
      </c>
      <c r="AJ166" s="11">
        <v>5617.12</v>
      </c>
      <c r="AK166" s="11">
        <v>4795.24</v>
      </c>
      <c r="AL166" s="3"/>
    </row>
    <row r="167" spans="1:38" ht="15.75">
      <c r="A167" s="6"/>
      <c r="B167" s="9" t="s">
        <v>298</v>
      </c>
      <c r="C167" s="6"/>
      <c r="D167" s="9" t="s">
        <v>299</v>
      </c>
      <c r="E167" s="6"/>
      <c r="F167" s="6"/>
      <c r="G167" s="34">
        <f t="shared" si="86"/>
        <v>0.7244002229970425</v>
      </c>
      <c r="H167" s="11">
        <f>+H168+H169</f>
        <v>1824.95</v>
      </c>
      <c r="I167" s="18">
        <f t="shared" si="87"/>
        <v>766.6400000000001</v>
      </c>
      <c r="J167" s="35">
        <f t="shared" si="88"/>
        <v>152.07916666666668</v>
      </c>
      <c r="K167" s="34">
        <f t="shared" si="81"/>
        <v>-0.023329857233824525</v>
      </c>
      <c r="L167" s="11">
        <f>+L168+L169</f>
        <v>1058.31</v>
      </c>
      <c r="M167" s="18">
        <f t="shared" si="62"/>
        <v>-25.279999999999973</v>
      </c>
      <c r="N167" s="35">
        <f t="shared" si="63"/>
        <v>88.1925</v>
      </c>
      <c r="O167" s="34">
        <f t="shared" si="82"/>
        <v>-0.29093241023694705</v>
      </c>
      <c r="P167" s="11">
        <f>+P168+P169</f>
        <v>1083.59</v>
      </c>
      <c r="Q167" s="18">
        <f t="shared" si="64"/>
        <v>-444.60000000000014</v>
      </c>
      <c r="R167" s="35">
        <f t="shared" si="65"/>
        <v>90.29916666666666</v>
      </c>
      <c r="S167" s="34">
        <f t="shared" si="83"/>
        <v>-0.3123664163355666</v>
      </c>
      <c r="T167" s="11">
        <f>+T168+T169</f>
        <v>1528.19</v>
      </c>
      <c r="U167" s="18">
        <f t="shared" si="66"/>
        <v>-694.1999999999998</v>
      </c>
      <c r="V167" s="35">
        <f t="shared" si="67"/>
        <v>127.34916666666668</v>
      </c>
      <c r="W167" s="34">
        <f t="shared" si="75"/>
        <v>0.5641711418134725</v>
      </c>
      <c r="X167" s="11">
        <f>+X168+X169</f>
        <v>2222.39</v>
      </c>
      <c r="Y167" s="18">
        <f t="shared" si="76"/>
        <v>801.5799999999999</v>
      </c>
      <c r="Z167" s="35">
        <f t="shared" si="77"/>
        <v>185.19916666666666</v>
      </c>
      <c r="AA167" s="34">
        <f t="shared" si="89"/>
        <v>0.07996290694050678</v>
      </c>
      <c r="AB167" s="11">
        <f>+AB168+AB169</f>
        <v>1420.81</v>
      </c>
      <c r="AC167" s="18">
        <f t="shared" si="73"/>
        <v>105.20000000000005</v>
      </c>
      <c r="AD167" s="35">
        <f t="shared" si="74"/>
        <v>118.40083333333332</v>
      </c>
      <c r="AE167" s="34">
        <f t="shared" si="90"/>
        <v>-0.027095581438343563</v>
      </c>
      <c r="AF167" s="11">
        <f>+AF168+AF169</f>
        <v>1315.61</v>
      </c>
      <c r="AG167" s="18">
        <f t="shared" si="78"/>
        <v>-36.6400000000001</v>
      </c>
      <c r="AH167" s="35">
        <f t="shared" si="79"/>
        <v>109.63416666666666</v>
      </c>
      <c r="AI167" s="10">
        <f t="shared" si="80"/>
        <v>0.2894536092304758</v>
      </c>
      <c r="AJ167" s="11">
        <f>+AJ168+AJ169</f>
        <v>1352.25</v>
      </c>
      <c r="AK167" s="11">
        <f>+AK168+AK169</f>
        <v>1048.7</v>
      </c>
      <c r="AL167" s="3">
        <f>+AL168+AL169</f>
        <v>0</v>
      </c>
    </row>
    <row r="168" spans="1:38" ht="15.75">
      <c r="A168" s="12" t="s">
        <v>300</v>
      </c>
      <c r="B168" s="6"/>
      <c r="C168" s="12" t="s">
        <v>301</v>
      </c>
      <c r="D168" s="6"/>
      <c r="E168" s="6" t="s">
        <v>300</v>
      </c>
      <c r="F168" s="6">
        <v>1315.61</v>
      </c>
      <c r="G168" s="34">
        <f t="shared" si="86"/>
        <v>-0.19876973665561126</v>
      </c>
      <c r="H168" s="11">
        <v>847.95</v>
      </c>
      <c r="I168" s="18">
        <f t="shared" si="87"/>
        <v>-210.3599999999999</v>
      </c>
      <c r="J168" s="35">
        <f t="shared" si="88"/>
        <v>70.66250000000001</v>
      </c>
      <c r="K168" s="34">
        <f t="shared" si="81"/>
        <v>-0.023329857233824525</v>
      </c>
      <c r="L168" s="11">
        <v>1058.31</v>
      </c>
      <c r="M168" s="18">
        <f t="shared" si="62"/>
        <v>-25.279999999999973</v>
      </c>
      <c r="N168" s="35">
        <f t="shared" si="63"/>
        <v>88.1925</v>
      </c>
      <c r="O168" s="34">
        <f t="shared" si="82"/>
        <v>-0.29093241023694705</v>
      </c>
      <c r="P168" s="11">
        <v>1083.59</v>
      </c>
      <c r="Q168" s="18">
        <f t="shared" si="64"/>
        <v>-444.60000000000014</v>
      </c>
      <c r="R168" s="35">
        <f t="shared" si="65"/>
        <v>90.29916666666666</v>
      </c>
      <c r="S168" s="34">
        <f t="shared" si="83"/>
        <v>-0.14786686517561898</v>
      </c>
      <c r="T168" s="11">
        <v>1528.19</v>
      </c>
      <c r="U168" s="18">
        <f t="shared" si="66"/>
        <v>-265.17999999999984</v>
      </c>
      <c r="V168" s="35">
        <f t="shared" si="67"/>
        <v>127.34916666666668</v>
      </c>
      <c r="W168" s="34">
        <f t="shared" si="75"/>
        <v>0.3786563756428687</v>
      </c>
      <c r="X168" s="11">
        <v>1793.37</v>
      </c>
      <c r="Y168" s="18">
        <f t="shared" si="76"/>
        <v>492.55999999999995</v>
      </c>
      <c r="Z168" s="35">
        <f t="shared" si="77"/>
        <v>149.4475</v>
      </c>
      <c r="AA168" s="34">
        <f t="shared" si="89"/>
        <v>-0.011249534436497122</v>
      </c>
      <c r="AB168" s="11">
        <v>1300.81</v>
      </c>
      <c r="AC168" s="18">
        <f t="shared" si="73"/>
        <v>-14.799999999999955</v>
      </c>
      <c r="AD168" s="35">
        <f t="shared" si="74"/>
        <v>108.40083333333332</v>
      </c>
      <c r="AE168" s="34">
        <f t="shared" si="90"/>
        <v>0.19207524260848263</v>
      </c>
      <c r="AF168" s="11">
        <v>1315.61</v>
      </c>
      <c r="AG168" s="18">
        <f t="shared" si="78"/>
        <v>211.9799999999998</v>
      </c>
      <c r="AH168" s="35">
        <f t="shared" si="79"/>
        <v>109.63416666666666</v>
      </c>
      <c r="AI168" s="10">
        <f t="shared" si="80"/>
        <v>0.05237913607323352</v>
      </c>
      <c r="AJ168" s="11">
        <v>1103.63</v>
      </c>
      <c r="AK168" s="11">
        <v>1048.7</v>
      </c>
      <c r="AL168" s="3"/>
    </row>
    <row r="169" spans="1:38" ht="15.75">
      <c r="A169" s="12" t="s">
        <v>302</v>
      </c>
      <c r="B169" s="6"/>
      <c r="C169" s="12" t="s">
        <v>303</v>
      </c>
      <c r="D169" s="6"/>
      <c r="E169" s="6"/>
      <c r="F169" s="6"/>
      <c r="G169" s="34" t="e">
        <f t="shared" si="86"/>
        <v>#DIV/0!</v>
      </c>
      <c r="H169" s="11">
        <v>977</v>
      </c>
      <c r="I169" s="18">
        <f t="shared" si="87"/>
        <v>977</v>
      </c>
      <c r="J169" s="35">
        <f t="shared" si="88"/>
        <v>81.41666666666667</v>
      </c>
      <c r="K169" s="34" t="e">
        <f t="shared" si="81"/>
        <v>#DIV/0!</v>
      </c>
      <c r="L169" s="11"/>
      <c r="M169" s="18">
        <f t="shared" si="62"/>
        <v>0</v>
      </c>
      <c r="N169" s="35">
        <f t="shared" si="63"/>
        <v>0</v>
      </c>
      <c r="O169" s="34" t="e">
        <f t="shared" si="82"/>
        <v>#DIV/0!</v>
      </c>
      <c r="P169" s="11"/>
      <c r="Q169" s="18">
        <f t="shared" si="64"/>
        <v>0</v>
      </c>
      <c r="R169" s="35">
        <f t="shared" si="65"/>
        <v>0</v>
      </c>
      <c r="S169" s="34">
        <f t="shared" si="83"/>
        <v>-1</v>
      </c>
      <c r="T169" s="11"/>
      <c r="U169" s="18">
        <f t="shared" si="66"/>
        <v>-429.02</v>
      </c>
      <c r="V169" s="35">
        <f t="shared" si="67"/>
        <v>0</v>
      </c>
      <c r="W169" s="34">
        <f t="shared" si="75"/>
        <v>2.5751666666666666</v>
      </c>
      <c r="X169" s="11">
        <v>429.02</v>
      </c>
      <c r="Y169" s="18">
        <f t="shared" si="76"/>
        <v>309.02</v>
      </c>
      <c r="Z169" s="35">
        <f t="shared" si="77"/>
        <v>35.751666666666665</v>
      </c>
      <c r="AA169" s="34" t="e">
        <f t="shared" si="89"/>
        <v>#DIV/0!</v>
      </c>
      <c r="AB169" s="11">
        <v>120</v>
      </c>
      <c r="AC169" s="18">
        <f t="shared" si="73"/>
        <v>120</v>
      </c>
      <c r="AD169" s="35">
        <f t="shared" si="74"/>
        <v>10</v>
      </c>
      <c r="AE169" s="34">
        <f t="shared" si="90"/>
        <v>-1</v>
      </c>
      <c r="AF169" s="11"/>
      <c r="AG169" s="18">
        <f t="shared" si="78"/>
        <v>-248.62</v>
      </c>
      <c r="AH169" s="35">
        <f t="shared" si="79"/>
        <v>0</v>
      </c>
      <c r="AI169" s="13"/>
      <c r="AJ169" s="11">
        <v>248.62</v>
      </c>
      <c r="AK169" s="11"/>
      <c r="AL169" s="3"/>
    </row>
    <row r="170" spans="1:38" ht="15.75">
      <c r="A170" s="12" t="s">
        <v>304</v>
      </c>
      <c r="B170" s="6"/>
      <c r="C170" s="12" t="s">
        <v>305</v>
      </c>
      <c r="D170" s="6"/>
      <c r="E170" s="6" t="s">
        <v>304</v>
      </c>
      <c r="F170" s="6">
        <v>30</v>
      </c>
      <c r="G170" s="36" t="e">
        <f t="shared" si="86"/>
        <v>#DIV/0!</v>
      </c>
      <c r="H170" s="11"/>
      <c r="I170" s="18">
        <f t="shared" si="87"/>
        <v>0</v>
      </c>
      <c r="J170" s="35">
        <f t="shared" si="88"/>
        <v>0</v>
      </c>
      <c r="K170" s="36" t="e">
        <f t="shared" si="81"/>
        <v>#DIV/0!</v>
      </c>
      <c r="L170" s="11"/>
      <c r="M170" s="18">
        <f t="shared" si="62"/>
        <v>0</v>
      </c>
      <c r="N170" s="35">
        <f t="shared" si="63"/>
        <v>0</v>
      </c>
      <c r="O170" s="36" t="e">
        <f t="shared" si="82"/>
        <v>#DIV/0!</v>
      </c>
      <c r="P170" s="11"/>
      <c r="Q170" s="18">
        <f t="shared" si="64"/>
        <v>0</v>
      </c>
      <c r="R170" s="35">
        <f t="shared" si="65"/>
        <v>0</v>
      </c>
      <c r="S170" s="36">
        <f t="shared" si="83"/>
        <v>-1</v>
      </c>
      <c r="T170" s="11"/>
      <c r="U170" s="18">
        <f t="shared" si="66"/>
        <v>-373.09</v>
      </c>
      <c r="V170" s="35">
        <f t="shared" si="67"/>
        <v>0</v>
      </c>
      <c r="W170" s="36" t="e">
        <f t="shared" si="75"/>
        <v>#DIV/0!</v>
      </c>
      <c r="X170" s="11">
        <v>373.09</v>
      </c>
      <c r="Y170" s="18">
        <f t="shared" si="76"/>
        <v>373.09</v>
      </c>
      <c r="Z170" s="35">
        <f t="shared" si="77"/>
        <v>31.090833333333332</v>
      </c>
      <c r="AA170" s="36"/>
      <c r="AB170" s="11"/>
      <c r="AC170" s="18">
        <f t="shared" si="73"/>
        <v>-30</v>
      </c>
      <c r="AD170" s="35">
        <f t="shared" si="74"/>
        <v>0</v>
      </c>
      <c r="AE170" s="36"/>
      <c r="AF170" s="11">
        <v>30</v>
      </c>
      <c r="AG170" s="18">
        <f t="shared" si="78"/>
        <v>30</v>
      </c>
      <c r="AH170" s="35">
        <f t="shared" si="79"/>
        <v>2.5</v>
      </c>
      <c r="AI170" s="10"/>
      <c r="AJ170" s="11"/>
      <c r="AK170" s="11"/>
      <c r="AL170" s="3"/>
    </row>
    <row r="171" spans="1:38" ht="15.75">
      <c r="A171" s="12" t="s">
        <v>306</v>
      </c>
      <c r="B171" s="6"/>
      <c r="C171" s="12" t="s">
        <v>307</v>
      </c>
      <c r="D171" s="6"/>
      <c r="E171" s="6" t="s">
        <v>306</v>
      </c>
      <c r="F171" s="6">
        <v>10050.21</v>
      </c>
      <c r="G171" s="34">
        <f t="shared" si="86"/>
        <v>0.2695296251310295</v>
      </c>
      <c r="H171" s="11">
        <v>2289</v>
      </c>
      <c r="I171" s="18">
        <f t="shared" si="87"/>
        <v>485.97</v>
      </c>
      <c r="J171" s="35">
        <f t="shared" si="88"/>
        <v>190.75</v>
      </c>
      <c r="K171" s="34">
        <f t="shared" si="81"/>
        <v>0.5313006921737653</v>
      </c>
      <c r="L171" s="11">
        <v>1803.03</v>
      </c>
      <c r="M171" s="18">
        <f t="shared" si="62"/>
        <v>625.5799999999999</v>
      </c>
      <c r="N171" s="35">
        <f t="shared" si="63"/>
        <v>150.2525</v>
      </c>
      <c r="O171" s="34">
        <f t="shared" si="82"/>
        <v>-0.46085726190857756</v>
      </c>
      <c r="P171" s="11">
        <v>1177.45</v>
      </c>
      <c r="Q171" s="18">
        <f t="shared" si="64"/>
        <v>-1006.4799999999998</v>
      </c>
      <c r="R171" s="35">
        <f t="shared" si="65"/>
        <v>98.12083333333334</v>
      </c>
      <c r="S171" s="34">
        <f t="shared" si="83"/>
        <v>0.16557079575172118</v>
      </c>
      <c r="T171" s="11">
        <f>2103.93+80</f>
        <v>2183.93</v>
      </c>
      <c r="U171" s="18">
        <f t="shared" si="66"/>
        <v>310.2299999999998</v>
      </c>
      <c r="V171" s="35">
        <f t="shared" si="67"/>
        <v>181.99416666666664</v>
      </c>
      <c r="W171" s="34">
        <f t="shared" si="75"/>
        <v>-0.5337581773346306</v>
      </c>
      <c r="X171" s="11">
        <v>1873.7</v>
      </c>
      <c r="Y171" s="18">
        <f t="shared" si="76"/>
        <v>-2145.0299999999997</v>
      </c>
      <c r="Z171" s="35">
        <f t="shared" si="77"/>
        <v>156.14166666666668</v>
      </c>
      <c r="AA171" s="34">
        <f>AB171/AF171-1</f>
        <v>-0.6001347235530401</v>
      </c>
      <c r="AB171" s="11">
        <v>4018.73</v>
      </c>
      <c r="AC171" s="18">
        <f t="shared" si="73"/>
        <v>-6031.48</v>
      </c>
      <c r="AD171" s="35">
        <f t="shared" si="74"/>
        <v>334.89416666666665</v>
      </c>
      <c r="AE171" s="34">
        <f>AF171/AJ171-1</f>
        <v>2.160016098452096</v>
      </c>
      <c r="AF171" s="11">
        <v>10050.21</v>
      </c>
      <c r="AG171" s="18">
        <f t="shared" si="78"/>
        <v>6869.779999999999</v>
      </c>
      <c r="AH171" s="35">
        <f t="shared" si="79"/>
        <v>837.5174999999999</v>
      </c>
      <c r="AI171" s="10">
        <f t="shared" si="80"/>
        <v>-0.2058494514110497</v>
      </c>
      <c r="AJ171" s="11">
        <v>3180.43</v>
      </c>
      <c r="AK171" s="11">
        <v>4004.82</v>
      </c>
      <c r="AL171" s="3"/>
    </row>
    <row r="172" spans="1:38" ht="15.75">
      <c r="A172" s="12" t="s">
        <v>397</v>
      </c>
      <c r="B172" s="6"/>
      <c r="C172" s="12" t="s">
        <v>398</v>
      </c>
      <c r="D172" s="6"/>
      <c r="E172" s="6"/>
      <c r="F172" s="6"/>
      <c r="G172" s="34">
        <f t="shared" si="86"/>
        <v>0.514066607286394</v>
      </c>
      <c r="H172" s="11">
        <v>696.94</v>
      </c>
      <c r="I172" s="18">
        <f t="shared" si="87"/>
        <v>236.63000000000005</v>
      </c>
      <c r="J172" s="35">
        <f t="shared" si="88"/>
        <v>58.07833333333334</v>
      </c>
      <c r="K172" s="34">
        <f t="shared" si="81"/>
        <v>-0.6782781299579946</v>
      </c>
      <c r="L172" s="11">
        <v>460.31</v>
      </c>
      <c r="M172" s="18">
        <f>+L172-P172</f>
        <v>-970.46</v>
      </c>
      <c r="N172" s="35">
        <f>+L172/12</f>
        <v>38.35916666666667</v>
      </c>
      <c r="O172" s="34">
        <f t="shared" si="82"/>
        <v>-0.7250147989267894</v>
      </c>
      <c r="P172" s="11">
        <v>1430.77</v>
      </c>
      <c r="Q172" s="18">
        <f>+P172-T172</f>
        <v>-3772.31</v>
      </c>
      <c r="R172" s="35">
        <f>+P172/12</f>
        <v>119.23083333333334</v>
      </c>
      <c r="S172" s="34">
        <f t="shared" si="83"/>
        <v>0.052696747878655525</v>
      </c>
      <c r="T172" s="11">
        <v>5203.08</v>
      </c>
      <c r="U172" s="18">
        <f>+T172-X172</f>
        <v>260.46000000000004</v>
      </c>
      <c r="V172" s="35">
        <f>+T172/12</f>
        <v>433.59</v>
      </c>
      <c r="W172" s="34">
        <f t="shared" si="75"/>
        <v>0.10551390330315269</v>
      </c>
      <c r="X172" s="11">
        <v>4942.62</v>
      </c>
      <c r="Y172" s="18">
        <f>+X172-AB172</f>
        <v>471.7399999999998</v>
      </c>
      <c r="Z172" s="35">
        <f>+X172/12</f>
        <v>411.885</v>
      </c>
      <c r="AA172" s="34"/>
      <c r="AB172" s="11">
        <v>4470.88</v>
      </c>
      <c r="AC172" s="18"/>
      <c r="AD172" s="35">
        <f t="shared" si="74"/>
        <v>372.5733333333333</v>
      </c>
      <c r="AE172" s="34"/>
      <c r="AF172" s="11"/>
      <c r="AG172" s="18"/>
      <c r="AH172" s="35"/>
      <c r="AI172" s="10"/>
      <c r="AJ172" s="11"/>
      <c r="AK172" s="11"/>
      <c r="AL172" s="3"/>
    </row>
    <row r="173" spans="1:38" s="20" customFormat="1" ht="15.75">
      <c r="A173" s="15"/>
      <c r="B173" s="16" t="s">
        <v>308</v>
      </c>
      <c r="C173" s="15"/>
      <c r="D173" s="16" t="s">
        <v>309</v>
      </c>
      <c r="E173" s="6"/>
      <c r="F173" s="6"/>
      <c r="G173" s="32">
        <f t="shared" si="86"/>
        <v>-0.21830251580235482</v>
      </c>
      <c r="H173" s="18">
        <f>SUM(H174:H179)</f>
        <v>10195.18</v>
      </c>
      <c r="I173" s="18">
        <f aca="true" t="shared" si="91" ref="I173:I205">+H173-L173</f>
        <v>-2847.1800000000003</v>
      </c>
      <c r="J173" s="33">
        <f aca="true" t="shared" si="92" ref="J173:J205">+H173/12</f>
        <v>849.5983333333334</v>
      </c>
      <c r="K173" s="32">
        <f t="shared" si="81"/>
        <v>0.24696298987503962</v>
      </c>
      <c r="L173" s="18">
        <f>SUM(L174:L179)</f>
        <v>13042.36</v>
      </c>
      <c r="M173" s="18">
        <f aca="true" t="shared" si="93" ref="M173:M205">+L173-P173</f>
        <v>2583.0600000000013</v>
      </c>
      <c r="N173" s="33">
        <f aca="true" t="shared" si="94" ref="N173:N205">+L173/12</f>
        <v>1086.8633333333335</v>
      </c>
      <c r="O173" s="32">
        <f t="shared" si="82"/>
        <v>-0.5036194072173632</v>
      </c>
      <c r="P173" s="18">
        <f>SUM(P174:P179)</f>
        <v>10459.3</v>
      </c>
      <c r="Q173" s="18">
        <f aca="true" t="shared" si="95" ref="Q173:Q205">+P173-T173</f>
        <v>-10611.829999999998</v>
      </c>
      <c r="R173" s="33">
        <f aca="true" t="shared" si="96" ref="R173:R205">+P173/12</f>
        <v>871.6083333333332</v>
      </c>
      <c r="S173" s="32">
        <f t="shared" si="83"/>
        <v>-0.5415259079454282</v>
      </c>
      <c r="T173" s="18">
        <f>SUM(T174:T179)</f>
        <v>21071.129999999997</v>
      </c>
      <c r="U173" s="18">
        <f aca="true" t="shared" si="97" ref="U173:U205">+T173-X173</f>
        <v>-24888.129999999997</v>
      </c>
      <c r="V173" s="33">
        <f aca="true" t="shared" si="98" ref="V173:V205">+T173/12</f>
        <v>1755.9274999999998</v>
      </c>
      <c r="W173" s="32">
        <f t="shared" si="75"/>
        <v>3.81332966078885</v>
      </c>
      <c r="X173" s="18">
        <f>SUM(X174:X179)</f>
        <v>45959.259999999995</v>
      </c>
      <c r="Y173" s="18">
        <f t="shared" si="76"/>
        <v>36410.92999999999</v>
      </c>
      <c r="Z173" s="33">
        <f t="shared" si="77"/>
        <v>3829.938333333333</v>
      </c>
      <c r="AA173" s="32">
        <f>AB173/AF173-1</f>
        <v>-0.6785765621470667</v>
      </c>
      <c r="AB173" s="18">
        <f>SUM(AB174:AB179)</f>
        <v>9548.33</v>
      </c>
      <c r="AC173" s="18">
        <f t="shared" si="73"/>
        <v>-20158.059999999998</v>
      </c>
      <c r="AD173" s="33">
        <f t="shared" si="74"/>
        <v>795.6941666666667</v>
      </c>
      <c r="AE173" s="32">
        <f>AF173/AJ173-1</f>
        <v>0.11896018601630765</v>
      </c>
      <c r="AF173" s="18">
        <f>SUM(AF174:AF179)</f>
        <v>29706.39</v>
      </c>
      <c r="AG173" s="18">
        <f t="shared" si="78"/>
        <v>3158.1799999999967</v>
      </c>
      <c r="AH173" s="33">
        <f t="shared" si="79"/>
        <v>2475.5325</v>
      </c>
      <c r="AI173" s="17">
        <f t="shared" si="80"/>
        <v>0.1818523791335347</v>
      </c>
      <c r="AJ173" s="18">
        <f>SUM(AJ174:AJ179)</f>
        <v>26548.210000000003</v>
      </c>
      <c r="AK173" s="18">
        <f>SUM(AK174:AK179)</f>
        <v>22463.22</v>
      </c>
      <c r="AL173" s="19">
        <f>SUM(AL174:AL179)</f>
        <v>0</v>
      </c>
    </row>
    <row r="174" spans="1:38" ht="15.75">
      <c r="A174" s="12" t="s">
        <v>310</v>
      </c>
      <c r="B174" s="6"/>
      <c r="C174" s="12" t="s">
        <v>311</v>
      </c>
      <c r="D174" s="6"/>
      <c r="E174" s="6" t="s">
        <v>310</v>
      </c>
      <c r="F174" s="6">
        <v>200</v>
      </c>
      <c r="G174" s="36">
        <f t="shared" si="86"/>
        <v>-0.3805084422346162</v>
      </c>
      <c r="H174" s="11">
        <f>668.92+467.37</f>
        <v>1136.29</v>
      </c>
      <c r="I174" s="18">
        <f t="shared" si="91"/>
        <v>-697.94</v>
      </c>
      <c r="J174" s="35">
        <f t="shared" si="92"/>
        <v>94.69083333333333</v>
      </c>
      <c r="K174" s="36">
        <f t="shared" si="81"/>
        <v>0.1463937500000001</v>
      </c>
      <c r="L174" s="11">
        <v>1834.23</v>
      </c>
      <c r="M174" s="18">
        <f t="shared" si="93"/>
        <v>234.23000000000002</v>
      </c>
      <c r="N174" s="35">
        <f t="shared" si="94"/>
        <v>152.8525</v>
      </c>
      <c r="O174" s="36">
        <f t="shared" si="82"/>
        <v>-0.8472321813048472</v>
      </c>
      <c r="P174" s="11">
        <f>800+800</f>
        <v>1600</v>
      </c>
      <c r="Q174" s="18">
        <f t="shared" si="95"/>
        <v>-8873.41</v>
      </c>
      <c r="R174" s="35">
        <f t="shared" si="96"/>
        <v>133.33333333333334</v>
      </c>
      <c r="S174" s="36">
        <f t="shared" si="83"/>
        <v>-0.08994688306192689</v>
      </c>
      <c r="T174" s="11">
        <v>10473.41</v>
      </c>
      <c r="U174" s="18">
        <f t="shared" si="97"/>
        <v>-1035.1599999999999</v>
      </c>
      <c r="V174" s="35">
        <f t="shared" si="98"/>
        <v>872.7841666666667</v>
      </c>
      <c r="W174" s="36">
        <f t="shared" si="75"/>
        <v>190.80949999999999</v>
      </c>
      <c r="X174" s="11">
        <v>11508.57</v>
      </c>
      <c r="Y174" s="18">
        <f t="shared" si="76"/>
        <v>11448.57</v>
      </c>
      <c r="Z174" s="35">
        <f t="shared" si="77"/>
        <v>959.0475</v>
      </c>
      <c r="AA174" s="36"/>
      <c r="AB174" s="11">
        <v>60</v>
      </c>
      <c r="AC174" s="18">
        <f t="shared" si="73"/>
        <v>-140</v>
      </c>
      <c r="AD174" s="35">
        <f t="shared" si="74"/>
        <v>5</v>
      </c>
      <c r="AE174" s="36"/>
      <c r="AF174" s="11">
        <v>200</v>
      </c>
      <c r="AG174" s="18">
        <f t="shared" si="78"/>
        <v>200</v>
      </c>
      <c r="AH174" s="35">
        <f t="shared" si="79"/>
        <v>16.666666666666668</v>
      </c>
      <c r="AI174" s="10"/>
      <c r="AJ174" s="11"/>
      <c r="AK174" s="11"/>
      <c r="AL174" s="3"/>
    </row>
    <row r="175" spans="1:38" ht="15.75">
      <c r="A175" s="12" t="s">
        <v>312</v>
      </c>
      <c r="B175" s="6"/>
      <c r="C175" s="12" t="s">
        <v>313</v>
      </c>
      <c r="D175" s="6"/>
      <c r="E175" s="6" t="s">
        <v>312</v>
      </c>
      <c r="F175" s="6">
        <v>15672.21</v>
      </c>
      <c r="G175" s="34">
        <f t="shared" si="86"/>
        <v>-0.6970126057675703</v>
      </c>
      <c r="H175" s="11">
        <v>1315.95</v>
      </c>
      <c r="I175" s="18">
        <f t="shared" si="91"/>
        <v>-3027.3</v>
      </c>
      <c r="J175" s="35">
        <f t="shared" si="92"/>
        <v>109.66250000000001</v>
      </c>
      <c r="K175" s="34">
        <f t="shared" si="81"/>
        <v>2.5901452342180744</v>
      </c>
      <c r="L175" s="11">
        <v>4343.25</v>
      </c>
      <c r="M175" s="18">
        <f t="shared" si="93"/>
        <v>3133.48</v>
      </c>
      <c r="N175" s="35">
        <f t="shared" si="94"/>
        <v>361.9375</v>
      </c>
      <c r="O175" s="34">
        <f t="shared" si="82"/>
        <v>-0.7049881119307444</v>
      </c>
      <c r="P175" s="11">
        <v>1209.77</v>
      </c>
      <c r="Q175" s="18">
        <f t="shared" si="95"/>
        <v>-2890.98</v>
      </c>
      <c r="R175" s="35">
        <f t="shared" si="96"/>
        <v>100.81416666666667</v>
      </c>
      <c r="S175" s="34">
        <f t="shared" si="83"/>
        <v>-0.6658583547430066</v>
      </c>
      <c r="T175" s="11">
        <v>4100.75</v>
      </c>
      <c r="U175" s="18">
        <f t="shared" si="97"/>
        <v>-8171.74</v>
      </c>
      <c r="V175" s="35">
        <f t="shared" si="98"/>
        <v>341.7291666666667</v>
      </c>
      <c r="W175" s="34">
        <f t="shared" si="75"/>
        <v>0.5228152593099957</v>
      </c>
      <c r="X175" s="11">
        <v>12272.49</v>
      </c>
      <c r="Y175" s="18">
        <f t="shared" si="76"/>
        <v>4213.41</v>
      </c>
      <c r="Z175" s="35">
        <f t="shared" si="77"/>
        <v>1022.7075</v>
      </c>
      <c r="AA175" s="34">
        <f>AB175/AF175-1</f>
        <v>-0.48577258727390715</v>
      </c>
      <c r="AB175" s="11">
        <v>8059.08</v>
      </c>
      <c r="AC175" s="18">
        <f t="shared" si="73"/>
        <v>-7613.129999999999</v>
      </c>
      <c r="AD175" s="35">
        <f t="shared" si="74"/>
        <v>671.59</v>
      </c>
      <c r="AE175" s="34">
        <f>AF175/AJ175-1</f>
        <v>-0.07439033249329519</v>
      </c>
      <c r="AF175" s="11">
        <v>15672.21</v>
      </c>
      <c r="AG175" s="18">
        <f t="shared" si="78"/>
        <v>-1259.5600000000013</v>
      </c>
      <c r="AH175" s="35">
        <f t="shared" si="79"/>
        <v>1306.0175</v>
      </c>
      <c r="AI175" s="10">
        <f t="shared" si="80"/>
        <v>3.6059433035823583</v>
      </c>
      <c r="AJ175" s="11">
        <v>16931.77</v>
      </c>
      <c r="AK175" s="11">
        <v>3676.07</v>
      </c>
      <c r="AL175" s="3"/>
    </row>
    <row r="176" spans="1:38" ht="15.75">
      <c r="A176" s="12" t="s">
        <v>314</v>
      </c>
      <c r="B176" s="6"/>
      <c r="C176" s="12" t="s">
        <v>315</v>
      </c>
      <c r="D176" s="6"/>
      <c r="E176" s="6" t="s">
        <v>314</v>
      </c>
      <c r="F176" s="6">
        <v>438.53</v>
      </c>
      <c r="G176" s="34">
        <f t="shared" si="86"/>
        <v>0.028268202043528312</v>
      </c>
      <c r="H176" s="11">
        <v>3954.01</v>
      </c>
      <c r="I176" s="18">
        <f t="shared" si="91"/>
        <v>108.70000000000027</v>
      </c>
      <c r="J176" s="35">
        <f t="shared" si="92"/>
        <v>329.50083333333333</v>
      </c>
      <c r="K176" s="34">
        <f t="shared" si="81"/>
        <v>-0.12923825245752407</v>
      </c>
      <c r="L176" s="11">
        <v>3845.31</v>
      </c>
      <c r="M176" s="18">
        <f t="shared" si="93"/>
        <v>-570.7199999999998</v>
      </c>
      <c r="N176" s="35">
        <f t="shared" si="94"/>
        <v>320.4425</v>
      </c>
      <c r="O176" s="34">
        <f t="shared" si="82"/>
        <v>0.39605087205166867</v>
      </c>
      <c r="P176" s="11">
        <v>4416.03</v>
      </c>
      <c r="Q176" s="18">
        <f t="shared" si="95"/>
        <v>1252.7999999999997</v>
      </c>
      <c r="R176" s="35">
        <f t="shared" si="96"/>
        <v>368.0025</v>
      </c>
      <c r="S176" s="34">
        <f t="shared" si="83"/>
        <v>-0.1475933321476499</v>
      </c>
      <c r="T176" s="11">
        <v>3163.23</v>
      </c>
      <c r="U176" s="18">
        <f t="shared" si="97"/>
        <v>-547.71</v>
      </c>
      <c r="V176" s="35">
        <f t="shared" si="98"/>
        <v>263.6025</v>
      </c>
      <c r="W176" s="34">
        <f t="shared" si="75"/>
        <v>10.769552806850617</v>
      </c>
      <c r="X176" s="11">
        <v>3710.94</v>
      </c>
      <c r="Y176" s="18">
        <f t="shared" si="76"/>
        <v>3395.64</v>
      </c>
      <c r="Z176" s="35">
        <f t="shared" si="77"/>
        <v>309.245</v>
      </c>
      <c r="AA176" s="34">
        <f>AB176/AF176-1</f>
        <v>-0.28100700066130013</v>
      </c>
      <c r="AB176" s="11">
        <v>315.3</v>
      </c>
      <c r="AC176" s="18">
        <f t="shared" si="73"/>
        <v>-123.22999999999996</v>
      </c>
      <c r="AD176" s="35">
        <f t="shared" si="74"/>
        <v>26.275000000000002</v>
      </c>
      <c r="AE176" s="34">
        <f>AF176/AJ176-1</f>
        <v>-0.3433213536987122</v>
      </c>
      <c r="AF176" s="11">
        <v>438.53</v>
      </c>
      <c r="AG176" s="18">
        <f t="shared" si="78"/>
        <v>-229.26999999999998</v>
      </c>
      <c r="AH176" s="35">
        <f t="shared" si="79"/>
        <v>36.54416666666666</v>
      </c>
      <c r="AI176" s="10">
        <f t="shared" si="80"/>
        <v>-0.9286664209834805</v>
      </c>
      <c r="AJ176" s="11">
        <v>667.8</v>
      </c>
      <c r="AK176" s="11">
        <v>9361.65</v>
      </c>
      <c r="AL176" s="3"/>
    </row>
    <row r="177" spans="1:38" ht="15.75">
      <c r="A177" s="12" t="s">
        <v>316</v>
      </c>
      <c r="B177" s="6"/>
      <c r="C177" s="12" t="s">
        <v>317</v>
      </c>
      <c r="D177" s="6"/>
      <c r="E177" s="6"/>
      <c r="F177" s="6"/>
      <c r="G177" s="34">
        <f t="shared" si="86"/>
        <v>3.063947399045734</v>
      </c>
      <c r="H177" s="11">
        <v>698.43</v>
      </c>
      <c r="I177" s="18">
        <f t="shared" si="91"/>
        <v>526.5699999999999</v>
      </c>
      <c r="J177" s="35">
        <f t="shared" si="92"/>
        <v>58.20249999999999</v>
      </c>
      <c r="K177" s="34">
        <f t="shared" si="81"/>
        <v>-0.6550035129980929</v>
      </c>
      <c r="L177" s="11">
        <v>171.86</v>
      </c>
      <c r="M177" s="18">
        <f t="shared" si="93"/>
        <v>-326.28999999999996</v>
      </c>
      <c r="N177" s="35">
        <f t="shared" si="94"/>
        <v>14.321666666666667</v>
      </c>
      <c r="O177" s="34" t="e">
        <f t="shared" si="82"/>
        <v>#DIV/0!</v>
      </c>
      <c r="P177" s="11">
        <v>498.15</v>
      </c>
      <c r="Q177" s="18">
        <f t="shared" si="95"/>
        <v>498.15</v>
      </c>
      <c r="R177" s="35">
        <f t="shared" si="96"/>
        <v>41.512499999999996</v>
      </c>
      <c r="S177" s="34" t="e">
        <f t="shared" si="83"/>
        <v>#DIV/0!</v>
      </c>
      <c r="T177" s="11"/>
      <c r="U177" s="18">
        <f t="shared" si="97"/>
        <v>0</v>
      </c>
      <c r="V177" s="35">
        <f t="shared" si="98"/>
        <v>0</v>
      </c>
      <c r="W177" s="34" t="e">
        <f t="shared" si="75"/>
        <v>#DIV/0!</v>
      </c>
      <c r="X177" s="11"/>
      <c r="Y177" s="18">
        <f t="shared" si="76"/>
        <v>0</v>
      </c>
      <c r="Z177" s="35">
        <f t="shared" si="77"/>
        <v>0</v>
      </c>
      <c r="AA177" s="34"/>
      <c r="AB177" s="11"/>
      <c r="AC177" s="18">
        <f t="shared" si="73"/>
        <v>0</v>
      </c>
      <c r="AD177" s="35">
        <f t="shared" si="74"/>
        <v>0</v>
      </c>
      <c r="AE177" s="34"/>
      <c r="AF177" s="11"/>
      <c r="AG177" s="18">
        <f t="shared" si="78"/>
        <v>0</v>
      </c>
      <c r="AH177" s="35">
        <f t="shared" si="79"/>
        <v>0</v>
      </c>
      <c r="AI177" s="10">
        <f t="shared" si="80"/>
        <v>-1</v>
      </c>
      <c r="AJ177" s="11"/>
      <c r="AK177" s="11">
        <v>100</v>
      </c>
      <c r="AL177" s="3"/>
    </row>
    <row r="178" spans="1:38" ht="15.75">
      <c r="A178" s="12" t="s">
        <v>318</v>
      </c>
      <c r="B178" s="6"/>
      <c r="C178" s="12" t="s">
        <v>319</v>
      </c>
      <c r="D178" s="6"/>
      <c r="E178" s="6" t="s">
        <v>318</v>
      </c>
      <c r="F178" s="6">
        <v>3646.45</v>
      </c>
      <c r="G178" s="34">
        <f t="shared" si="86"/>
        <v>-0.21107761868877173</v>
      </c>
      <c r="H178" s="11">
        <v>1570.35</v>
      </c>
      <c r="I178" s="18">
        <f t="shared" si="91"/>
        <v>-420.1500000000001</v>
      </c>
      <c r="J178" s="35">
        <f t="shared" si="92"/>
        <v>130.86249999999998</v>
      </c>
      <c r="K178" s="34">
        <f t="shared" si="81"/>
        <v>0.40476795392953924</v>
      </c>
      <c r="L178" s="11">
        <v>1990.5</v>
      </c>
      <c r="M178" s="18">
        <f t="shared" si="93"/>
        <v>573.54</v>
      </c>
      <c r="N178" s="35">
        <f t="shared" si="94"/>
        <v>165.875</v>
      </c>
      <c r="O178" s="34">
        <f t="shared" si="82"/>
        <v>-0.43878771555992113</v>
      </c>
      <c r="P178" s="11">
        <v>1416.96</v>
      </c>
      <c r="Q178" s="18">
        <f t="shared" si="95"/>
        <v>-1107.8600000000001</v>
      </c>
      <c r="R178" s="35">
        <f t="shared" si="96"/>
        <v>118.08</v>
      </c>
      <c r="S178" s="34">
        <f t="shared" si="83"/>
        <v>2.0285604615735244</v>
      </c>
      <c r="T178" s="11">
        <v>2524.82</v>
      </c>
      <c r="U178" s="18">
        <f t="shared" si="97"/>
        <v>1691.15</v>
      </c>
      <c r="V178" s="35">
        <f t="shared" si="98"/>
        <v>210.40166666666667</v>
      </c>
      <c r="W178" s="34">
        <f t="shared" si="75"/>
        <v>-0.08271992077900647</v>
      </c>
      <c r="X178" s="11">
        <v>833.67</v>
      </c>
      <c r="Y178" s="18">
        <f t="shared" si="76"/>
        <v>-75.18000000000006</v>
      </c>
      <c r="Z178" s="35">
        <f t="shared" si="77"/>
        <v>69.4725</v>
      </c>
      <c r="AA178" s="34">
        <f>AB178/AF178-1</f>
        <v>-0.7507575861454291</v>
      </c>
      <c r="AB178" s="11">
        <v>908.85</v>
      </c>
      <c r="AC178" s="18">
        <f t="shared" si="73"/>
        <v>-2737.6</v>
      </c>
      <c r="AD178" s="35">
        <f t="shared" si="74"/>
        <v>75.7375</v>
      </c>
      <c r="AE178" s="34">
        <f>AF178/AJ178-1</f>
        <v>-0.5829721291414587</v>
      </c>
      <c r="AF178" s="11">
        <v>3646.45</v>
      </c>
      <c r="AG178" s="18">
        <f t="shared" si="78"/>
        <v>-5097.45</v>
      </c>
      <c r="AH178" s="35">
        <f t="shared" si="79"/>
        <v>303.87083333333334</v>
      </c>
      <c r="AI178" s="10">
        <f t="shared" si="80"/>
        <v>11.904220779220779</v>
      </c>
      <c r="AJ178" s="11">
        <v>8743.9</v>
      </c>
      <c r="AK178" s="11">
        <v>677.6</v>
      </c>
      <c r="AL178" s="3"/>
    </row>
    <row r="179" spans="1:38" ht="15.75">
      <c r="A179" s="12" t="s">
        <v>320</v>
      </c>
      <c r="B179" s="6"/>
      <c r="C179" s="12" t="s">
        <v>321</v>
      </c>
      <c r="D179" s="6"/>
      <c r="E179" s="6" t="s">
        <v>320</v>
      </c>
      <c r="F179" s="6">
        <v>9749.2</v>
      </c>
      <c r="G179" s="34">
        <f t="shared" si="86"/>
        <v>0.7733694193954808</v>
      </c>
      <c r="H179" s="11">
        <f>1987.52-467.37</f>
        <v>1520.15</v>
      </c>
      <c r="I179" s="18">
        <f t="shared" si="91"/>
        <v>662.94</v>
      </c>
      <c r="J179" s="35">
        <f t="shared" si="92"/>
        <v>126.67916666666667</v>
      </c>
      <c r="K179" s="34">
        <f t="shared" si="81"/>
        <v>-0.3498054445194516</v>
      </c>
      <c r="L179" s="11">
        <v>857.21</v>
      </c>
      <c r="M179" s="18">
        <f t="shared" si="93"/>
        <v>-461.17999999999984</v>
      </c>
      <c r="N179" s="35">
        <f t="shared" si="94"/>
        <v>71.43416666666667</v>
      </c>
      <c r="O179" s="34">
        <f t="shared" si="82"/>
        <v>0.6298150620580527</v>
      </c>
      <c r="P179" s="11">
        <f>2546.39-1228</f>
        <v>1318.3899999999999</v>
      </c>
      <c r="Q179" s="18">
        <f t="shared" si="95"/>
        <v>509.4699999999999</v>
      </c>
      <c r="R179" s="35">
        <f t="shared" si="96"/>
        <v>109.86583333333333</v>
      </c>
      <c r="S179" s="34">
        <f t="shared" si="83"/>
        <v>-0.9541261875772319</v>
      </c>
      <c r="T179" s="11">
        <v>808.92</v>
      </c>
      <c r="U179" s="18">
        <f t="shared" si="97"/>
        <v>-16824.670000000002</v>
      </c>
      <c r="V179" s="35">
        <f t="shared" si="98"/>
        <v>67.41</v>
      </c>
      <c r="W179" s="34">
        <f t="shared" si="75"/>
        <v>84.97557289127255</v>
      </c>
      <c r="X179" s="11">
        <v>17633.59</v>
      </c>
      <c r="Y179" s="18">
        <f t="shared" si="76"/>
        <v>17428.49</v>
      </c>
      <c r="Z179" s="35">
        <f t="shared" si="77"/>
        <v>1469.4658333333334</v>
      </c>
      <c r="AA179" s="34">
        <f>AB179/AF179-1</f>
        <v>-0.9789623764001149</v>
      </c>
      <c r="AB179" s="11">
        <v>205.1</v>
      </c>
      <c r="AC179" s="18">
        <f t="shared" si="73"/>
        <v>-9544.1</v>
      </c>
      <c r="AD179" s="35">
        <f t="shared" si="74"/>
        <v>17.091666666666665</v>
      </c>
      <c r="AE179" s="34">
        <f>AF179/AJ179-1</f>
        <v>46.61746605450816</v>
      </c>
      <c r="AF179" s="11">
        <v>9749.2</v>
      </c>
      <c r="AG179" s="18">
        <f t="shared" si="78"/>
        <v>9544.460000000001</v>
      </c>
      <c r="AH179" s="35">
        <f t="shared" si="79"/>
        <v>812.4333333333334</v>
      </c>
      <c r="AI179" s="10">
        <f t="shared" si="80"/>
        <v>-0.9763248881231281</v>
      </c>
      <c r="AJ179" s="11">
        <v>204.74</v>
      </c>
      <c r="AK179" s="11">
        <v>8647.9</v>
      </c>
      <c r="AL179" s="3"/>
    </row>
    <row r="180" spans="1:38" s="20" customFormat="1" ht="15.75">
      <c r="A180" s="15"/>
      <c r="B180" s="16" t="s">
        <v>322</v>
      </c>
      <c r="C180" s="15"/>
      <c r="D180" s="16" t="s">
        <v>323</v>
      </c>
      <c r="E180" s="6"/>
      <c r="F180" s="6"/>
      <c r="G180" s="32">
        <f t="shared" si="86"/>
        <v>0.02466543201710869</v>
      </c>
      <c r="H180" s="18">
        <f>SUM(H181:H188)</f>
        <v>1859.0300000000002</v>
      </c>
      <c r="I180" s="18">
        <f t="shared" si="91"/>
        <v>44.75</v>
      </c>
      <c r="J180" s="33">
        <f t="shared" si="92"/>
        <v>154.91916666666668</v>
      </c>
      <c r="K180" s="32">
        <f t="shared" si="81"/>
        <v>-0.48022346368715074</v>
      </c>
      <c r="L180" s="18">
        <f>SUM(L181:L188)</f>
        <v>1814.2800000000002</v>
      </c>
      <c r="M180" s="18">
        <f t="shared" si="93"/>
        <v>-1676.2199999999998</v>
      </c>
      <c r="N180" s="33">
        <f t="shared" si="94"/>
        <v>151.19000000000003</v>
      </c>
      <c r="O180" s="32">
        <f t="shared" si="82"/>
        <v>-0.11453576864535764</v>
      </c>
      <c r="P180" s="18">
        <f>SUM(P181:P188)</f>
        <v>3490.5</v>
      </c>
      <c r="Q180" s="18">
        <f t="shared" si="95"/>
        <v>-451.5</v>
      </c>
      <c r="R180" s="33">
        <f t="shared" si="96"/>
        <v>290.875</v>
      </c>
      <c r="S180" s="32">
        <f t="shared" si="83"/>
        <v>1.9821163797016368</v>
      </c>
      <c r="T180" s="18">
        <f>SUM(T181:T188)</f>
        <v>3942</v>
      </c>
      <c r="U180" s="18">
        <f t="shared" si="97"/>
        <v>2620.12</v>
      </c>
      <c r="V180" s="33">
        <f t="shared" si="98"/>
        <v>328.5</v>
      </c>
      <c r="W180" s="32">
        <f t="shared" si="75"/>
        <v>93.42</v>
      </c>
      <c r="X180" s="18">
        <f>SUM(X181:X188)</f>
        <v>1321.88</v>
      </c>
      <c r="Y180" s="18">
        <f t="shared" si="76"/>
        <v>1307.88</v>
      </c>
      <c r="Z180" s="33">
        <f t="shared" si="77"/>
        <v>110.15666666666668</v>
      </c>
      <c r="AA180" s="32"/>
      <c r="AB180" s="18">
        <f>SUM(AB181:AB188)</f>
        <v>14</v>
      </c>
      <c r="AC180" s="18">
        <f t="shared" si="73"/>
        <v>14</v>
      </c>
      <c r="AD180" s="33">
        <f t="shared" si="74"/>
        <v>1.1666666666666667</v>
      </c>
      <c r="AE180" s="32"/>
      <c r="AF180" s="18">
        <f>SUM(AF181:AF188)</f>
        <v>0</v>
      </c>
      <c r="AG180" s="18">
        <f t="shared" si="78"/>
        <v>0</v>
      </c>
      <c r="AH180" s="33">
        <f t="shared" si="79"/>
        <v>0</v>
      </c>
      <c r="AI180" s="17">
        <f t="shared" si="80"/>
        <v>-1</v>
      </c>
      <c r="AJ180" s="18">
        <f>SUM(AJ181:AJ188)</f>
        <v>0</v>
      </c>
      <c r="AK180" s="18">
        <f>SUM(AK181:AK188)</f>
        <v>54.76</v>
      </c>
      <c r="AL180" s="19">
        <f>SUM(AL181:AL188)</f>
        <v>0</v>
      </c>
    </row>
    <row r="181" spans="1:38" ht="15.75">
      <c r="A181" s="12" t="s">
        <v>324</v>
      </c>
      <c r="B181" s="6"/>
      <c r="C181" s="12" t="s">
        <v>325</v>
      </c>
      <c r="D181" s="6"/>
      <c r="E181" s="6"/>
      <c r="F181" s="6"/>
      <c r="G181" s="34" t="e">
        <f t="shared" si="86"/>
        <v>#DIV/0!</v>
      </c>
      <c r="H181" s="11"/>
      <c r="I181" s="18">
        <f t="shared" si="91"/>
        <v>0</v>
      </c>
      <c r="J181" s="35">
        <f t="shared" si="92"/>
        <v>0</v>
      </c>
      <c r="K181" s="34" t="e">
        <f t="shared" si="81"/>
        <v>#DIV/0!</v>
      </c>
      <c r="L181" s="11"/>
      <c r="M181" s="18">
        <f t="shared" si="93"/>
        <v>0</v>
      </c>
      <c r="N181" s="35">
        <f t="shared" si="94"/>
        <v>0</v>
      </c>
      <c r="O181" s="34" t="e">
        <f t="shared" si="82"/>
        <v>#DIV/0!</v>
      </c>
      <c r="P181" s="11"/>
      <c r="Q181" s="18">
        <f t="shared" si="95"/>
        <v>0</v>
      </c>
      <c r="R181" s="35">
        <f t="shared" si="96"/>
        <v>0</v>
      </c>
      <c r="S181" s="34" t="e">
        <f t="shared" si="83"/>
        <v>#DIV/0!</v>
      </c>
      <c r="T181" s="11"/>
      <c r="U181" s="18">
        <f t="shared" si="97"/>
        <v>0</v>
      </c>
      <c r="V181" s="35">
        <f t="shared" si="98"/>
        <v>0</v>
      </c>
      <c r="W181" s="34" t="e">
        <f t="shared" si="75"/>
        <v>#DIV/0!</v>
      </c>
      <c r="X181" s="11"/>
      <c r="Y181" s="18">
        <f t="shared" si="76"/>
        <v>0</v>
      </c>
      <c r="Z181" s="35">
        <f t="shared" si="77"/>
        <v>0</v>
      </c>
      <c r="AA181" s="34"/>
      <c r="AB181" s="11"/>
      <c r="AC181" s="18">
        <f t="shared" si="73"/>
        <v>0</v>
      </c>
      <c r="AD181" s="35">
        <f t="shared" si="74"/>
        <v>0</v>
      </c>
      <c r="AE181" s="34"/>
      <c r="AF181" s="11"/>
      <c r="AG181" s="18">
        <f t="shared" si="78"/>
        <v>0</v>
      </c>
      <c r="AH181" s="35">
        <f t="shared" si="79"/>
        <v>0</v>
      </c>
      <c r="AI181" s="10"/>
      <c r="AJ181" s="11"/>
      <c r="AK181" s="11"/>
      <c r="AL181" s="3"/>
    </row>
    <row r="182" spans="1:38" ht="15.75">
      <c r="A182" s="12" t="s">
        <v>326</v>
      </c>
      <c r="B182" s="6"/>
      <c r="C182" s="12" t="s">
        <v>327</v>
      </c>
      <c r="D182" s="6"/>
      <c r="E182" s="6"/>
      <c r="F182" s="6"/>
      <c r="G182" s="34" t="e">
        <f t="shared" si="86"/>
        <v>#DIV/0!</v>
      </c>
      <c r="H182" s="11"/>
      <c r="I182" s="18">
        <f t="shared" si="91"/>
        <v>0</v>
      </c>
      <c r="J182" s="35">
        <f t="shared" si="92"/>
        <v>0</v>
      </c>
      <c r="K182" s="34" t="e">
        <f t="shared" si="81"/>
        <v>#DIV/0!</v>
      </c>
      <c r="L182" s="11"/>
      <c r="M182" s="18">
        <f t="shared" si="93"/>
        <v>0</v>
      </c>
      <c r="N182" s="35">
        <f t="shared" si="94"/>
        <v>0</v>
      </c>
      <c r="O182" s="34" t="e">
        <f t="shared" si="82"/>
        <v>#DIV/0!</v>
      </c>
      <c r="P182" s="11"/>
      <c r="Q182" s="18">
        <f t="shared" si="95"/>
        <v>0</v>
      </c>
      <c r="R182" s="35">
        <f t="shared" si="96"/>
        <v>0</v>
      </c>
      <c r="S182" s="34" t="e">
        <f t="shared" si="83"/>
        <v>#DIV/0!</v>
      </c>
      <c r="T182" s="11"/>
      <c r="U182" s="18">
        <f t="shared" si="97"/>
        <v>0</v>
      </c>
      <c r="V182" s="35">
        <f t="shared" si="98"/>
        <v>0</v>
      </c>
      <c r="W182" s="34" t="e">
        <f t="shared" si="75"/>
        <v>#DIV/0!</v>
      </c>
      <c r="X182" s="11"/>
      <c r="Y182" s="18">
        <f t="shared" si="76"/>
        <v>0</v>
      </c>
      <c r="Z182" s="35">
        <f t="shared" si="77"/>
        <v>0</v>
      </c>
      <c r="AA182" s="34"/>
      <c r="AB182" s="11"/>
      <c r="AC182" s="18">
        <f t="shared" si="73"/>
        <v>0</v>
      </c>
      <c r="AD182" s="35">
        <f t="shared" si="74"/>
        <v>0</v>
      </c>
      <c r="AE182" s="34"/>
      <c r="AF182" s="11"/>
      <c r="AG182" s="18">
        <f t="shared" si="78"/>
        <v>0</v>
      </c>
      <c r="AH182" s="35">
        <f t="shared" si="79"/>
        <v>0</v>
      </c>
      <c r="AI182" s="10"/>
      <c r="AJ182" s="11"/>
      <c r="AK182" s="11"/>
      <c r="AL182" s="3"/>
    </row>
    <row r="183" spans="1:38" ht="15.75">
      <c r="A183" s="12" t="s">
        <v>328</v>
      </c>
      <c r="B183" s="6"/>
      <c r="C183" s="12" t="s">
        <v>329</v>
      </c>
      <c r="D183" s="6"/>
      <c r="E183" s="6"/>
      <c r="F183" s="6"/>
      <c r="G183" s="34">
        <f t="shared" si="86"/>
        <v>1.4047695238095241</v>
      </c>
      <c r="H183" s="11">
        <v>1578.13</v>
      </c>
      <c r="I183" s="18">
        <f t="shared" si="91"/>
        <v>921.8800000000001</v>
      </c>
      <c r="J183" s="35">
        <f t="shared" si="92"/>
        <v>131.51083333333335</v>
      </c>
      <c r="K183" s="34">
        <f t="shared" si="81"/>
        <v>-0.6818181818181819</v>
      </c>
      <c r="L183" s="11">
        <v>656.25</v>
      </c>
      <c r="M183" s="18">
        <f t="shared" si="93"/>
        <v>-1406.25</v>
      </c>
      <c r="N183" s="35">
        <f t="shared" si="94"/>
        <v>54.6875</v>
      </c>
      <c r="O183" s="34">
        <f t="shared" si="82"/>
        <v>-0.47678843226788437</v>
      </c>
      <c r="P183" s="11">
        <v>2062.5</v>
      </c>
      <c r="Q183" s="18">
        <f t="shared" si="95"/>
        <v>-1879.5</v>
      </c>
      <c r="R183" s="35">
        <f t="shared" si="96"/>
        <v>171.875</v>
      </c>
      <c r="S183" s="34">
        <f t="shared" si="83"/>
        <v>1.9821163797016368</v>
      </c>
      <c r="T183" s="11">
        <v>3942</v>
      </c>
      <c r="U183" s="18">
        <f t="shared" si="97"/>
        <v>2620.12</v>
      </c>
      <c r="V183" s="35">
        <f t="shared" si="98"/>
        <v>328.5</v>
      </c>
      <c r="W183" s="34" t="e">
        <f t="shared" si="75"/>
        <v>#DIV/0!</v>
      </c>
      <c r="X183" s="11">
        <v>1321.88</v>
      </c>
      <c r="Y183" s="18">
        <f t="shared" si="76"/>
        <v>1321.88</v>
      </c>
      <c r="Z183" s="35">
        <f t="shared" si="77"/>
        <v>110.15666666666668</v>
      </c>
      <c r="AA183" s="34"/>
      <c r="AB183" s="11"/>
      <c r="AC183" s="18">
        <f t="shared" si="73"/>
        <v>0</v>
      </c>
      <c r="AD183" s="35">
        <f t="shared" si="74"/>
        <v>0</v>
      </c>
      <c r="AE183" s="34"/>
      <c r="AF183" s="11"/>
      <c r="AG183" s="18">
        <f t="shared" si="78"/>
        <v>0</v>
      </c>
      <c r="AH183" s="35">
        <f t="shared" si="79"/>
        <v>0</v>
      </c>
      <c r="AI183" s="10"/>
      <c r="AJ183" s="11"/>
      <c r="AK183" s="11"/>
      <c r="AL183" s="3"/>
    </row>
    <row r="184" spans="1:38" ht="15.75">
      <c r="A184" s="12" t="s">
        <v>330</v>
      </c>
      <c r="B184" s="6"/>
      <c r="C184" s="12" t="s">
        <v>331</v>
      </c>
      <c r="D184" s="6"/>
      <c r="E184" s="6"/>
      <c r="F184" s="6"/>
      <c r="G184" s="34" t="e">
        <f t="shared" si="86"/>
        <v>#DIV/0!</v>
      </c>
      <c r="H184" s="11"/>
      <c r="I184" s="18">
        <f t="shared" si="91"/>
        <v>0</v>
      </c>
      <c r="J184" s="35">
        <f t="shared" si="92"/>
        <v>0</v>
      </c>
      <c r="K184" s="34" t="e">
        <f t="shared" si="81"/>
        <v>#DIV/0!</v>
      </c>
      <c r="L184" s="11"/>
      <c r="M184" s="18">
        <f t="shared" si="93"/>
        <v>0</v>
      </c>
      <c r="N184" s="35">
        <f t="shared" si="94"/>
        <v>0</v>
      </c>
      <c r="O184" s="34" t="e">
        <f t="shared" si="82"/>
        <v>#DIV/0!</v>
      </c>
      <c r="P184" s="11"/>
      <c r="Q184" s="18">
        <f t="shared" si="95"/>
        <v>0</v>
      </c>
      <c r="R184" s="35">
        <f t="shared" si="96"/>
        <v>0</v>
      </c>
      <c r="S184" s="34" t="e">
        <f t="shared" si="83"/>
        <v>#DIV/0!</v>
      </c>
      <c r="T184" s="11"/>
      <c r="U184" s="18">
        <f t="shared" si="97"/>
        <v>0</v>
      </c>
      <c r="V184" s="35">
        <f t="shared" si="98"/>
        <v>0</v>
      </c>
      <c r="W184" s="34" t="e">
        <f t="shared" si="75"/>
        <v>#DIV/0!</v>
      </c>
      <c r="X184" s="11"/>
      <c r="Y184" s="18">
        <f t="shared" si="76"/>
        <v>0</v>
      </c>
      <c r="Z184" s="35">
        <f t="shared" si="77"/>
        <v>0</v>
      </c>
      <c r="AA184" s="34"/>
      <c r="AB184" s="11"/>
      <c r="AC184" s="18">
        <f t="shared" si="73"/>
        <v>0</v>
      </c>
      <c r="AD184" s="35">
        <f t="shared" si="74"/>
        <v>0</v>
      </c>
      <c r="AE184" s="34"/>
      <c r="AF184" s="11"/>
      <c r="AG184" s="18">
        <f t="shared" si="78"/>
        <v>0</v>
      </c>
      <c r="AH184" s="35">
        <f t="shared" si="79"/>
        <v>0</v>
      </c>
      <c r="AI184" s="10"/>
      <c r="AJ184" s="11"/>
      <c r="AK184" s="11"/>
      <c r="AL184" s="3"/>
    </row>
    <row r="185" spans="1:38" ht="15.75">
      <c r="A185" s="12" t="s">
        <v>332</v>
      </c>
      <c r="B185" s="6"/>
      <c r="C185" s="12" t="s">
        <v>333</v>
      </c>
      <c r="D185" s="6"/>
      <c r="E185" s="6"/>
      <c r="F185" s="6"/>
      <c r="G185" s="34">
        <f t="shared" si="86"/>
        <v>-0.515576923076923</v>
      </c>
      <c r="H185" s="11">
        <v>25.19</v>
      </c>
      <c r="I185" s="18">
        <f t="shared" si="91"/>
        <v>-26.81</v>
      </c>
      <c r="J185" s="35">
        <f t="shared" si="92"/>
        <v>2.0991666666666666</v>
      </c>
      <c r="K185" s="34" t="e">
        <f t="shared" si="81"/>
        <v>#DIV/0!</v>
      </c>
      <c r="L185" s="11">
        <v>52</v>
      </c>
      <c r="M185" s="18">
        <f t="shared" si="93"/>
        <v>52</v>
      </c>
      <c r="N185" s="35">
        <f t="shared" si="94"/>
        <v>4.333333333333333</v>
      </c>
      <c r="O185" s="34" t="e">
        <f t="shared" si="82"/>
        <v>#DIV/0!</v>
      </c>
      <c r="P185" s="11"/>
      <c r="Q185" s="18">
        <f t="shared" si="95"/>
        <v>0</v>
      </c>
      <c r="R185" s="35">
        <f t="shared" si="96"/>
        <v>0</v>
      </c>
      <c r="S185" s="34" t="e">
        <f t="shared" si="83"/>
        <v>#DIV/0!</v>
      </c>
      <c r="T185" s="11"/>
      <c r="U185" s="18">
        <f t="shared" si="97"/>
        <v>0</v>
      </c>
      <c r="V185" s="35">
        <f t="shared" si="98"/>
        <v>0</v>
      </c>
      <c r="W185" s="34" t="e">
        <f t="shared" si="75"/>
        <v>#DIV/0!</v>
      </c>
      <c r="X185" s="11"/>
      <c r="Y185" s="18">
        <f t="shared" si="76"/>
        <v>0</v>
      </c>
      <c r="Z185" s="35">
        <f t="shared" si="77"/>
        <v>0</v>
      </c>
      <c r="AA185" s="34"/>
      <c r="AB185" s="11"/>
      <c r="AC185" s="18">
        <f t="shared" si="73"/>
        <v>0</v>
      </c>
      <c r="AD185" s="35">
        <f t="shared" si="74"/>
        <v>0</v>
      </c>
      <c r="AE185" s="34"/>
      <c r="AF185" s="11"/>
      <c r="AG185" s="18">
        <f t="shared" si="78"/>
        <v>0</v>
      </c>
      <c r="AH185" s="35">
        <f t="shared" si="79"/>
        <v>0</v>
      </c>
      <c r="AI185" s="10">
        <f t="shared" si="80"/>
        <v>-1</v>
      </c>
      <c r="AJ185" s="11"/>
      <c r="AK185" s="11">
        <v>48</v>
      </c>
      <c r="AL185" s="3"/>
    </row>
    <row r="186" spans="1:38" ht="15.75">
      <c r="A186" s="12" t="s">
        <v>334</v>
      </c>
      <c r="B186" s="6"/>
      <c r="C186" s="12" t="s">
        <v>335</v>
      </c>
      <c r="D186" s="6"/>
      <c r="E186" s="6"/>
      <c r="F186" s="6"/>
      <c r="G186" s="34">
        <f t="shared" si="86"/>
        <v>-0.8583394323818817</v>
      </c>
      <c r="H186" s="11">
        <v>69.68</v>
      </c>
      <c r="I186" s="18">
        <f t="shared" si="91"/>
        <v>-422.2</v>
      </c>
      <c r="J186" s="35">
        <f t="shared" si="92"/>
        <v>5.8066666666666675</v>
      </c>
      <c r="K186" s="34" t="e">
        <f t="shared" si="81"/>
        <v>#DIV/0!</v>
      </c>
      <c r="L186" s="11">
        <v>491.88</v>
      </c>
      <c r="M186" s="18">
        <f t="shared" si="93"/>
        <v>491.88</v>
      </c>
      <c r="N186" s="35">
        <f t="shared" si="94"/>
        <v>40.99</v>
      </c>
      <c r="O186" s="34" t="e">
        <f t="shared" si="82"/>
        <v>#DIV/0!</v>
      </c>
      <c r="P186" s="11"/>
      <c r="Q186" s="18">
        <f t="shared" si="95"/>
        <v>0</v>
      </c>
      <c r="R186" s="35">
        <f t="shared" si="96"/>
        <v>0</v>
      </c>
      <c r="S186" s="34" t="e">
        <f t="shared" si="83"/>
        <v>#DIV/0!</v>
      </c>
      <c r="T186" s="11"/>
      <c r="U186" s="18">
        <f t="shared" si="97"/>
        <v>0</v>
      </c>
      <c r="V186" s="35">
        <f t="shared" si="98"/>
        <v>0</v>
      </c>
      <c r="W186" s="34" t="e">
        <f t="shared" si="75"/>
        <v>#DIV/0!</v>
      </c>
      <c r="X186" s="11"/>
      <c r="Y186" s="18">
        <f t="shared" si="76"/>
        <v>0</v>
      </c>
      <c r="Z186" s="35">
        <f t="shared" si="77"/>
        <v>0</v>
      </c>
      <c r="AA186" s="34"/>
      <c r="AB186" s="11"/>
      <c r="AC186" s="18">
        <f t="shared" si="73"/>
        <v>0</v>
      </c>
      <c r="AD186" s="35">
        <f t="shared" si="74"/>
        <v>0</v>
      </c>
      <c r="AE186" s="34"/>
      <c r="AF186" s="11"/>
      <c r="AG186" s="18">
        <f t="shared" si="78"/>
        <v>0</v>
      </c>
      <c r="AH186" s="35">
        <f t="shared" si="79"/>
        <v>0</v>
      </c>
      <c r="AI186" s="10"/>
      <c r="AJ186" s="11"/>
      <c r="AK186" s="11"/>
      <c r="AL186" s="3"/>
    </row>
    <row r="187" spans="1:38" ht="15.75">
      <c r="A187" s="12">
        <v>21007</v>
      </c>
      <c r="B187" s="6"/>
      <c r="C187" s="12" t="s">
        <v>565</v>
      </c>
      <c r="D187" s="6"/>
      <c r="E187" s="6"/>
      <c r="F187" s="6"/>
      <c r="G187" s="34" t="e">
        <f t="shared" si="86"/>
        <v>#DIV/0!</v>
      </c>
      <c r="H187" s="11">
        <v>119.07</v>
      </c>
      <c r="I187" s="18">
        <f>+H187-L187</f>
        <v>119.07</v>
      </c>
      <c r="J187" s="35">
        <f>+H187/12</f>
        <v>9.9225</v>
      </c>
      <c r="K187" s="34"/>
      <c r="L187" s="11"/>
      <c r="M187" s="18"/>
      <c r="N187" s="35"/>
      <c r="O187" s="34"/>
      <c r="P187" s="11"/>
      <c r="Q187" s="18"/>
      <c r="R187" s="35"/>
      <c r="S187" s="34"/>
      <c r="T187" s="11"/>
      <c r="U187" s="18"/>
      <c r="V187" s="35"/>
      <c r="W187" s="34"/>
      <c r="X187" s="11"/>
      <c r="Y187" s="18"/>
      <c r="Z187" s="35"/>
      <c r="AA187" s="34"/>
      <c r="AB187" s="11"/>
      <c r="AC187" s="18"/>
      <c r="AD187" s="35"/>
      <c r="AE187" s="34"/>
      <c r="AF187" s="11"/>
      <c r="AG187" s="18"/>
      <c r="AH187" s="35"/>
      <c r="AI187" s="10"/>
      <c r="AJ187" s="11"/>
      <c r="AK187" s="11"/>
      <c r="AL187" s="3"/>
    </row>
    <row r="188" spans="1:38" ht="15.75">
      <c r="A188" s="12" t="s">
        <v>336</v>
      </c>
      <c r="B188" s="6"/>
      <c r="C188" s="12" t="s">
        <v>337</v>
      </c>
      <c r="D188" s="6"/>
      <c r="E188" s="6"/>
      <c r="F188" s="6"/>
      <c r="G188" s="34">
        <f t="shared" si="86"/>
        <v>-0.890971261092567</v>
      </c>
      <c r="H188" s="11">
        <v>66.96</v>
      </c>
      <c r="I188" s="18">
        <f t="shared" si="91"/>
        <v>-547.1899999999999</v>
      </c>
      <c r="J188" s="35">
        <f t="shared" si="92"/>
        <v>5.579999999999999</v>
      </c>
      <c r="K188" s="34">
        <f t="shared" si="81"/>
        <v>-0.569922969187675</v>
      </c>
      <c r="L188" s="11">
        <v>614.15</v>
      </c>
      <c r="M188" s="18">
        <f t="shared" si="93"/>
        <v>-813.85</v>
      </c>
      <c r="N188" s="35">
        <f t="shared" si="94"/>
        <v>51.17916666666667</v>
      </c>
      <c r="O188" s="34" t="e">
        <f t="shared" si="82"/>
        <v>#DIV/0!</v>
      </c>
      <c r="P188" s="11">
        <v>1428</v>
      </c>
      <c r="Q188" s="18">
        <f t="shared" si="95"/>
        <v>1428</v>
      </c>
      <c r="R188" s="35">
        <f t="shared" si="96"/>
        <v>119</v>
      </c>
      <c r="S188" s="34" t="e">
        <f t="shared" si="83"/>
        <v>#DIV/0!</v>
      </c>
      <c r="T188" s="11"/>
      <c r="U188" s="18">
        <f t="shared" si="97"/>
        <v>0</v>
      </c>
      <c r="V188" s="35">
        <f t="shared" si="98"/>
        <v>0</v>
      </c>
      <c r="W188" s="34">
        <f t="shared" si="75"/>
        <v>-1</v>
      </c>
      <c r="X188" s="11"/>
      <c r="Y188" s="18">
        <f t="shared" si="76"/>
        <v>-14</v>
      </c>
      <c r="Z188" s="35">
        <f t="shared" si="77"/>
        <v>0</v>
      </c>
      <c r="AA188" s="34"/>
      <c r="AB188" s="11">
        <v>14</v>
      </c>
      <c r="AC188" s="18">
        <f t="shared" si="73"/>
        <v>14</v>
      </c>
      <c r="AD188" s="35">
        <f t="shared" si="74"/>
        <v>1.1666666666666667</v>
      </c>
      <c r="AE188" s="34"/>
      <c r="AF188" s="11"/>
      <c r="AG188" s="18">
        <f t="shared" si="78"/>
        <v>0</v>
      </c>
      <c r="AH188" s="35">
        <f t="shared" si="79"/>
        <v>0</v>
      </c>
      <c r="AI188" s="10">
        <f t="shared" si="80"/>
        <v>-1</v>
      </c>
      <c r="AJ188" s="11"/>
      <c r="AK188" s="11">
        <v>6.76</v>
      </c>
      <c r="AL188" s="3"/>
    </row>
    <row r="189" spans="1:38" s="20" customFormat="1" ht="15.75">
      <c r="A189" s="15"/>
      <c r="B189" s="16" t="s">
        <v>338</v>
      </c>
      <c r="C189" s="15"/>
      <c r="D189" s="16" t="s">
        <v>339</v>
      </c>
      <c r="E189" s="6"/>
      <c r="F189" s="6"/>
      <c r="G189" s="34" t="e">
        <f t="shared" si="86"/>
        <v>#DIV/0!</v>
      </c>
      <c r="H189" s="18">
        <f>+H190+H191</f>
        <v>0</v>
      </c>
      <c r="I189" s="18">
        <f t="shared" si="91"/>
        <v>0</v>
      </c>
      <c r="J189" s="33">
        <f t="shared" si="92"/>
        <v>0</v>
      </c>
      <c r="K189" s="34">
        <f t="shared" si="81"/>
        <v>-1</v>
      </c>
      <c r="L189" s="18">
        <f>+L190+L191</f>
        <v>0</v>
      </c>
      <c r="M189" s="18">
        <f t="shared" si="93"/>
        <v>-298.66</v>
      </c>
      <c r="N189" s="33">
        <f t="shared" si="94"/>
        <v>0</v>
      </c>
      <c r="O189" s="34" t="e">
        <f t="shared" si="82"/>
        <v>#DIV/0!</v>
      </c>
      <c r="P189" s="18">
        <f>+P190+P191</f>
        <v>298.66</v>
      </c>
      <c r="Q189" s="18">
        <f t="shared" si="95"/>
        <v>298.66</v>
      </c>
      <c r="R189" s="33">
        <f t="shared" si="96"/>
        <v>24.888333333333335</v>
      </c>
      <c r="S189" s="34" t="e">
        <f t="shared" si="83"/>
        <v>#DIV/0!</v>
      </c>
      <c r="T189" s="18">
        <f>+T190+T191</f>
        <v>0</v>
      </c>
      <c r="U189" s="18">
        <f t="shared" si="97"/>
        <v>0</v>
      </c>
      <c r="V189" s="33">
        <f t="shared" si="98"/>
        <v>0</v>
      </c>
      <c r="W189" s="34" t="e">
        <f t="shared" si="75"/>
        <v>#DIV/0!</v>
      </c>
      <c r="X189" s="18">
        <f>+X190+X191</f>
        <v>0</v>
      </c>
      <c r="Y189" s="18">
        <f t="shared" si="76"/>
        <v>0</v>
      </c>
      <c r="Z189" s="33">
        <f t="shared" si="77"/>
        <v>0</v>
      </c>
      <c r="AA189" s="34"/>
      <c r="AB189" s="18">
        <f>+AB190+AB191</f>
        <v>0</v>
      </c>
      <c r="AC189" s="18">
        <f t="shared" si="73"/>
        <v>-50.43</v>
      </c>
      <c r="AD189" s="33">
        <f t="shared" si="74"/>
        <v>0</v>
      </c>
      <c r="AE189" s="34"/>
      <c r="AF189" s="18">
        <f>+AF190+AF191</f>
        <v>50.43</v>
      </c>
      <c r="AG189" s="18">
        <f t="shared" si="78"/>
        <v>50.43</v>
      </c>
      <c r="AH189" s="33">
        <f t="shared" si="79"/>
        <v>4.2025</v>
      </c>
      <c r="AI189" s="17"/>
      <c r="AJ189" s="18">
        <f>+AJ190+AJ191</f>
        <v>0</v>
      </c>
      <c r="AK189" s="18">
        <f>+AK190+AK191</f>
        <v>0</v>
      </c>
      <c r="AL189" s="19">
        <f>+AL190+AL191</f>
        <v>0</v>
      </c>
    </row>
    <row r="190" spans="1:38" ht="15.75">
      <c r="A190" s="12" t="s">
        <v>340</v>
      </c>
      <c r="B190" s="6"/>
      <c r="C190" s="12" t="s">
        <v>341</v>
      </c>
      <c r="D190" s="6"/>
      <c r="E190" s="6" t="s">
        <v>340</v>
      </c>
      <c r="F190" s="6">
        <v>50.43</v>
      </c>
      <c r="G190" s="34" t="e">
        <f t="shared" si="86"/>
        <v>#DIV/0!</v>
      </c>
      <c r="H190" s="11"/>
      <c r="I190" s="18">
        <f t="shared" si="91"/>
        <v>0</v>
      </c>
      <c r="J190" s="35">
        <f t="shared" si="92"/>
        <v>0</v>
      </c>
      <c r="K190" s="34" t="e">
        <f t="shared" si="81"/>
        <v>#DIV/0!</v>
      </c>
      <c r="L190" s="11"/>
      <c r="M190" s="18">
        <f t="shared" si="93"/>
        <v>0</v>
      </c>
      <c r="N190" s="35">
        <f t="shared" si="94"/>
        <v>0</v>
      </c>
      <c r="O190" s="34" t="e">
        <f t="shared" si="82"/>
        <v>#DIV/0!</v>
      </c>
      <c r="P190" s="11"/>
      <c r="Q190" s="18">
        <f t="shared" si="95"/>
        <v>0</v>
      </c>
      <c r="R190" s="35">
        <f t="shared" si="96"/>
        <v>0</v>
      </c>
      <c r="S190" s="34" t="e">
        <f t="shared" si="83"/>
        <v>#DIV/0!</v>
      </c>
      <c r="T190" s="11"/>
      <c r="U190" s="18">
        <f t="shared" si="97"/>
        <v>0</v>
      </c>
      <c r="V190" s="35">
        <f t="shared" si="98"/>
        <v>0</v>
      </c>
      <c r="W190" s="34" t="e">
        <f t="shared" si="75"/>
        <v>#DIV/0!</v>
      </c>
      <c r="X190" s="11"/>
      <c r="Y190" s="18">
        <f t="shared" si="76"/>
        <v>0</v>
      </c>
      <c r="Z190" s="35">
        <f t="shared" si="77"/>
        <v>0</v>
      </c>
      <c r="AA190" s="34"/>
      <c r="AB190" s="11"/>
      <c r="AC190" s="18">
        <f t="shared" si="73"/>
        <v>-50.43</v>
      </c>
      <c r="AD190" s="35">
        <f t="shared" si="74"/>
        <v>0</v>
      </c>
      <c r="AE190" s="34"/>
      <c r="AF190" s="11">
        <v>50.43</v>
      </c>
      <c r="AG190" s="18">
        <f t="shared" si="78"/>
        <v>50.43</v>
      </c>
      <c r="AH190" s="35">
        <f t="shared" si="79"/>
        <v>4.2025</v>
      </c>
      <c r="AI190" s="10"/>
      <c r="AJ190" s="11"/>
      <c r="AK190" s="11"/>
      <c r="AL190" s="3"/>
    </row>
    <row r="191" spans="1:38" ht="15.75">
      <c r="A191" s="12" t="s">
        <v>342</v>
      </c>
      <c r="B191" s="6"/>
      <c r="C191" s="12" t="s">
        <v>343</v>
      </c>
      <c r="D191" s="6"/>
      <c r="E191" s="6"/>
      <c r="F191" s="6"/>
      <c r="G191" s="34" t="e">
        <f t="shared" si="86"/>
        <v>#DIV/0!</v>
      </c>
      <c r="H191" s="11"/>
      <c r="I191" s="18">
        <f t="shared" si="91"/>
        <v>0</v>
      </c>
      <c r="J191" s="35">
        <f t="shared" si="92"/>
        <v>0</v>
      </c>
      <c r="K191" s="34">
        <f t="shared" si="81"/>
        <v>-1</v>
      </c>
      <c r="L191" s="11"/>
      <c r="M191" s="18">
        <f t="shared" si="93"/>
        <v>-298.66</v>
      </c>
      <c r="N191" s="35">
        <f t="shared" si="94"/>
        <v>0</v>
      </c>
      <c r="O191" s="34" t="e">
        <f t="shared" si="82"/>
        <v>#DIV/0!</v>
      </c>
      <c r="P191" s="11">
        <v>298.66</v>
      </c>
      <c r="Q191" s="18">
        <f t="shared" si="95"/>
        <v>298.66</v>
      </c>
      <c r="R191" s="35">
        <f t="shared" si="96"/>
        <v>24.888333333333335</v>
      </c>
      <c r="S191" s="34" t="e">
        <f t="shared" si="83"/>
        <v>#DIV/0!</v>
      </c>
      <c r="T191" s="11"/>
      <c r="U191" s="18">
        <f t="shared" si="97"/>
        <v>0</v>
      </c>
      <c r="V191" s="35">
        <f t="shared" si="98"/>
        <v>0</v>
      </c>
      <c r="W191" s="34" t="e">
        <f t="shared" si="75"/>
        <v>#DIV/0!</v>
      </c>
      <c r="X191" s="11"/>
      <c r="Y191" s="18">
        <f t="shared" si="76"/>
        <v>0</v>
      </c>
      <c r="Z191" s="35">
        <f t="shared" si="77"/>
        <v>0</v>
      </c>
      <c r="AA191" s="34"/>
      <c r="AB191" s="11"/>
      <c r="AC191" s="18">
        <f t="shared" si="73"/>
        <v>0</v>
      </c>
      <c r="AD191" s="35">
        <f t="shared" si="74"/>
        <v>0</v>
      </c>
      <c r="AE191" s="34"/>
      <c r="AF191" s="11"/>
      <c r="AG191" s="18">
        <f t="shared" si="78"/>
        <v>0</v>
      </c>
      <c r="AH191" s="35">
        <f t="shared" si="79"/>
        <v>0</v>
      </c>
      <c r="AI191" s="10"/>
      <c r="AJ191" s="11"/>
      <c r="AK191" s="11"/>
      <c r="AL191" s="3"/>
    </row>
    <row r="192" spans="1:38" s="20" customFormat="1" ht="15.75">
      <c r="A192" s="15"/>
      <c r="B192" s="16" t="s">
        <v>344</v>
      </c>
      <c r="C192" s="15"/>
      <c r="D192" s="16" t="s">
        <v>345</v>
      </c>
      <c r="E192" s="6"/>
      <c r="F192" s="6"/>
      <c r="G192" s="32">
        <f t="shared" si="86"/>
        <v>-0.11761620814283591</v>
      </c>
      <c r="H192" s="18">
        <f>SUM(H193:H197)</f>
        <v>773.9300000000001</v>
      </c>
      <c r="I192" s="18">
        <f t="shared" si="91"/>
        <v>-103.15999999999997</v>
      </c>
      <c r="J192" s="33">
        <f t="shared" si="92"/>
        <v>64.49416666666667</v>
      </c>
      <c r="K192" s="32">
        <f t="shared" si="81"/>
        <v>-0.5941239622763745</v>
      </c>
      <c r="L192" s="18">
        <f>SUM(L193:L197)</f>
        <v>877.09</v>
      </c>
      <c r="M192" s="18">
        <f t="shared" si="93"/>
        <v>-1283.8899999999999</v>
      </c>
      <c r="N192" s="33">
        <f t="shared" si="94"/>
        <v>73.09083333333334</v>
      </c>
      <c r="O192" s="32">
        <f t="shared" si="82"/>
        <v>0.38511040605070024</v>
      </c>
      <c r="P192" s="18">
        <f>SUM(P193:P197)</f>
        <v>2160.98</v>
      </c>
      <c r="Q192" s="18">
        <f t="shared" si="95"/>
        <v>600.8299999999999</v>
      </c>
      <c r="R192" s="33">
        <f t="shared" si="96"/>
        <v>180.08166666666668</v>
      </c>
      <c r="S192" s="32">
        <f t="shared" si="83"/>
        <v>0.46513593463868164</v>
      </c>
      <c r="T192" s="18">
        <f>SUM(T193:T197)</f>
        <v>1560.15</v>
      </c>
      <c r="U192" s="18">
        <f t="shared" si="97"/>
        <v>495.3000000000002</v>
      </c>
      <c r="V192" s="33">
        <f t="shared" si="98"/>
        <v>130.01250000000002</v>
      </c>
      <c r="W192" s="32">
        <f t="shared" si="75"/>
        <v>0.0434488638033923</v>
      </c>
      <c r="X192" s="18">
        <f>SUM(X193:X197)</f>
        <v>1064.85</v>
      </c>
      <c r="Y192" s="18">
        <f t="shared" si="76"/>
        <v>44.33999999999992</v>
      </c>
      <c r="Z192" s="33">
        <f t="shared" si="77"/>
        <v>88.7375</v>
      </c>
      <c r="AA192" s="32">
        <f>AB192/AF192-1</f>
        <v>-0.32608910989163375</v>
      </c>
      <c r="AB192" s="18">
        <f>SUM(AB193:AB197)</f>
        <v>1020.51</v>
      </c>
      <c r="AC192" s="18">
        <f t="shared" si="73"/>
        <v>-493.79999999999995</v>
      </c>
      <c r="AD192" s="33">
        <f t="shared" si="74"/>
        <v>85.0425</v>
      </c>
      <c r="AE192" s="32">
        <f>AF192/AJ192-1</f>
        <v>2.0940277465623276</v>
      </c>
      <c r="AF192" s="18">
        <f>SUM(AF193:AF197)</f>
        <v>1514.31</v>
      </c>
      <c r="AG192" s="18">
        <f t="shared" si="78"/>
        <v>1024.8799999999999</v>
      </c>
      <c r="AH192" s="33">
        <f t="shared" si="79"/>
        <v>126.1925</v>
      </c>
      <c r="AI192" s="17">
        <f t="shared" si="80"/>
        <v>-0.7560047858816492</v>
      </c>
      <c r="AJ192" s="18">
        <f>SUM(AJ193:AJ197)</f>
        <v>489.43</v>
      </c>
      <c r="AK192" s="18">
        <f>SUM(AK193:AK197)</f>
        <v>2005.9</v>
      </c>
      <c r="AL192" s="19">
        <f>SUM(AL193:AL197)</f>
        <v>0</v>
      </c>
    </row>
    <row r="193" spans="1:38" ht="15.75">
      <c r="A193" s="12" t="s">
        <v>346</v>
      </c>
      <c r="B193" s="6"/>
      <c r="C193" s="12" t="s">
        <v>347</v>
      </c>
      <c r="D193" s="6"/>
      <c r="E193" s="6"/>
      <c r="F193" s="6"/>
      <c r="G193" s="34" t="e">
        <f t="shared" si="86"/>
        <v>#DIV/0!</v>
      </c>
      <c r="H193" s="11"/>
      <c r="I193" s="18">
        <f t="shared" si="91"/>
        <v>0</v>
      </c>
      <c r="J193" s="35">
        <f t="shared" si="92"/>
        <v>0</v>
      </c>
      <c r="K193" s="34" t="e">
        <f t="shared" si="81"/>
        <v>#DIV/0!</v>
      </c>
      <c r="L193" s="11"/>
      <c r="M193" s="18">
        <f t="shared" si="93"/>
        <v>0</v>
      </c>
      <c r="N193" s="35">
        <f t="shared" si="94"/>
        <v>0</v>
      </c>
      <c r="O193" s="34" t="e">
        <f t="shared" si="82"/>
        <v>#DIV/0!</v>
      </c>
      <c r="P193" s="11"/>
      <c r="Q193" s="18">
        <f t="shared" si="95"/>
        <v>0</v>
      </c>
      <c r="R193" s="35">
        <f t="shared" si="96"/>
        <v>0</v>
      </c>
      <c r="S193" s="34" t="e">
        <f t="shared" si="83"/>
        <v>#DIV/0!</v>
      </c>
      <c r="T193" s="11"/>
      <c r="U193" s="18">
        <f t="shared" si="97"/>
        <v>0</v>
      </c>
      <c r="V193" s="35">
        <f t="shared" si="98"/>
        <v>0</v>
      </c>
      <c r="W193" s="34" t="e">
        <f t="shared" si="75"/>
        <v>#DIV/0!</v>
      </c>
      <c r="X193" s="11"/>
      <c r="Y193" s="18">
        <f t="shared" si="76"/>
        <v>0</v>
      </c>
      <c r="Z193" s="35">
        <f t="shared" si="77"/>
        <v>0</v>
      </c>
      <c r="AA193" s="34"/>
      <c r="AB193" s="11"/>
      <c r="AC193" s="18">
        <f t="shared" si="73"/>
        <v>0</v>
      </c>
      <c r="AD193" s="35">
        <f t="shared" si="74"/>
        <v>0</v>
      </c>
      <c r="AE193" s="34"/>
      <c r="AF193" s="11"/>
      <c r="AG193" s="18">
        <f t="shared" si="78"/>
        <v>0</v>
      </c>
      <c r="AH193" s="35">
        <f t="shared" si="79"/>
        <v>0</v>
      </c>
      <c r="AI193" s="10">
        <f t="shared" si="80"/>
        <v>-1</v>
      </c>
      <c r="AJ193" s="11"/>
      <c r="AK193" s="11">
        <v>436.75</v>
      </c>
      <c r="AL193" s="3"/>
    </row>
    <row r="194" spans="1:38" ht="15.75">
      <c r="A194" s="12" t="s">
        <v>348</v>
      </c>
      <c r="B194" s="6"/>
      <c r="C194" s="12" t="s">
        <v>349</v>
      </c>
      <c r="D194" s="6"/>
      <c r="E194" s="6" t="s">
        <v>348</v>
      </c>
      <c r="F194" s="6">
        <v>931.99</v>
      </c>
      <c r="G194" s="34">
        <f t="shared" si="86"/>
        <v>-0.3975808851664471</v>
      </c>
      <c r="H194" s="11">
        <v>283.39</v>
      </c>
      <c r="I194" s="18">
        <f t="shared" si="91"/>
        <v>-187.03000000000003</v>
      </c>
      <c r="J194" s="35">
        <f t="shared" si="92"/>
        <v>23.61583333333333</v>
      </c>
      <c r="K194" s="34">
        <f t="shared" si="81"/>
        <v>-0.6970817020399753</v>
      </c>
      <c r="L194" s="11">
        <v>470.42</v>
      </c>
      <c r="M194" s="18">
        <f t="shared" si="93"/>
        <v>-1082.54</v>
      </c>
      <c r="N194" s="35">
        <f t="shared" si="94"/>
        <v>39.20166666666667</v>
      </c>
      <c r="O194" s="34">
        <f t="shared" si="82"/>
        <v>0.4140571647104887</v>
      </c>
      <c r="P194" s="11">
        <v>1552.96</v>
      </c>
      <c r="Q194" s="18">
        <f t="shared" si="95"/>
        <v>454.73</v>
      </c>
      <c r="R194" s="35">
        <f t="shared" si="96"/>
        <v>129.41333333333333</v>
      </c>
      <c r="S194" s="34">
        <f t="shared" si="83"/>
        <v>0.8735371387628375</v>
      </c>
      <c r="T194" s="11">
        <v>1098.23</v>
      </c>
      <c r="U194" s="18">
        <f t="shared" si="97"/>
        <v>512.0500000000001</v>
      </c>
      <c r="V194" s="35">
        <f t="shared" si="98"/>
        <v>91.51916666666666</v>
      </c>
      <c r="W194" s="34">
        <f t="shared" si="75"/>
        <v>19.801277501774308</v>
      </c>
      <c r="X194" s="11">
        <v>586.18</v>
      </c>
      <c r="Y194" s="18">
        <f t="shared" si="76"/>
        <v>558</v>
      </c>
      <c r="Z194" s="35">
        <f t="shared" si="77"/>
        <v>48.84833333333333</v>
      </c>
      <c r="AA194" s="34">
        <f>AB194/AF194-1</f>
        <v>-0.9697636240732197</v>
      </c>
      <c r="AB194" s="11">
        <v>28.18</v>
      </c>
      <c r="AC194" s="18">
        <f t="shared" si="73"/>
        <v>-903.8100000000001</v>
      </c>
      <c r="AD194" s="35">
        <f t="shared" si="74"/>
        <v>2.348333333333333</v>
      </c>
      <c r="AE194" s="34">
        <f>AF194/AJ194-1</f>
        <v>4.794156046005596</v>
      </c>
      <c r="AF194" s="11">
        <v>931.99</v>
      </c>
      <c r="AG194" s="18">
        <f t="shared" si="78"/>
        <v>771.14</v>
      </c>
      <c r="AH194" s="35">
        <f t="shared" si="79"/>
        <v>77.66583333333334</v>
      </c>
      <c r="AI194" s="10">
        <f t="shared" si="80"/>
        <v>-0.43468175587811475</v>
      </c>
      <c r="AJ194" s="11">
        <v>160.85</v>
      </c>
      <c r="AK194" s="11">
        <v>284.53</v>
      </c>
      <c r="AL194" s="3"/>
    </row>
    <row r="195" spans="1:38" ht="15.75">
      <c r="A195" s="12" t="s">
        <v>350</v>
      </c>
      <c r="B195" s="6"/>
      <c r="C195" s="12" t="s">
        <v>464</v>
      </c>
      <c r="D195" s="6"/>
      <c r="E195" s="6" t="s">
        <v>350</v>
      </c>
      <c r="F195" s="6">
        <v>188.3</v>
      </c>
      <c r="G195" s="34" t="e">
        <f t="shared" si="86"/>
        <v>#DIV/0!</v>
      </c>
      <c r="H195" s="11">
        <v>10</v>
      </c>
      <c r="I195" s="18">
        <f t="shared" si="91"/>
        <v>10</v>
      </c>
      <c r="J195" s="35">
        <f t="shared" si="92"/>
        <v>0.8333333333333334</v>
      </c>
      <c r="K195" s="34">
        <f t="shared" si="81"/>
        <v>-1</v>
      </c>
      <c r="L195" s="11"/>
      <c r="M195" s="18">
        <f t="shared" si="93"/>
        <v>-151.03</v>
      </c>
      <c r="N195" s="35">
        <f t="shared" si="94"/>
        <v>0</v>
      </c>
      <c r="O195" s="34">
        <f t="shared" si="82"/>
        <v>14.103</v>
      </c>
      <c r="P195" s="11">
        <v>151.03</v>
      </c>
      <c r="Q195" s="18">
        <f t="shared" si="95"/>
        <v>141.03</v>
      </c>
      <c r="R195" s="35">
        <f t="shared" si="96"/>
        <v>12.585833333333333</v>
      </c>
      <c r="S195" s="34" t="e">
        <f t="shared" si="83"/>
        <v>#DIV/0!</v>
      </c>
      <c r="T195" s="11">
        <v>10</v>
      </c>
      <c r="U195" s="18">
        <f t="shared" si="97"/>
        <v>10</v>
      </c>
      <c r="V195" s="35">
        <f t="shared" si="98"/>
        <v>0.8333333333333334</v>
      </c>
      <c r="W195" s="34">
        <f t="shared" si="75"/>
        <v>-1</v>
      </c>
      <c r="X195" s="11"/>
      <c r="Y195" s="18">
        <f t="shared" si="76"/>
        <v>-519.61</v>
      </c>
      <c r="Z195" s="35">
        <f t="shared" si="77"/>
        <v>0</v>
      </c>
      <c r="AA195" s="34">
        <f>AB195/AF195-1</f>
        <v>1.7594795539033456</v>
      </c>
      <c r="AB195" s="11">
        <v>519.61</v>
      </c>
      <c r="AC195" s="18">
        <f t="shared" si="73"/>
        <v>331.31</v>
      </c>
      <c r="AD195" s="35">
        <f t="shared" si="74"/>
        <v>43.30083333333334</v>
      </c>
      <c r="AE195" s="34">
        <f>AF195/AJ195-1</f>
        <v>3.184444444444445</v>
      </c>
      <c r="AF195" s="11">
        <v>188.3</v>
      </c>
      <c r="AG195" s="18">
        <f t="shared" si="78"/>
        <v>143.3</v>
      </c>
      <c r="AH195" s="35">
        <f t="shared" si="79"/>
        <v>15.691666666666668</v>
      </c>
      <c r="AI195" s="10">
        <f t="shared" si="80"/>
        <v>-0.9320344358858179</v>
      </c>
      <c r="AJ195" s="11">
        <v>45</v>
      </c>
      <c r="AK195" s="11">
        <v>662.1</v>
      </c>
      <c r="AL195" s="3"/>
    </row>
    <row r="196" spans="1:38" ht="15.75">
      <c r="A196" s="12" t="s">
        <v>351</v>
      </c>
      <c r="B196" s="6"/>
      <c r="C196" s="12" t="s">
        <v>352</v>
      </c>
      <c r="D196" s="6"/>
      <c r="E196" s="6" t="s">
        <v>351</v>
      </c>
      <c r="F196" s="6">
        <v>19.48</v>
      </c>
      <c r="G196" s="34" t="e">
        <f t="shared" si="86"/>
        <v>#DIV/0!</v>
      </c>
      <c r="H196" s="11">
        <v>57.92</v>
      </c>
      <c r="I196" s="18">
        <f t="shared" si="91"/>
        <v>57.92</v>
      </c>
      <c r="J196" s="35">
        <f t="shared" si="92"/>
        <v>4.826666666666667</v>
      </c>
      <c r="K196" s="34">
        <f t="shared" si="81"/>
        <v>-1</v>
      </c>
      <c r="L196" s="11"/>
      <c r="M196" s="18">
        <f t="shared" si="93"/>
        <v>-57.92</v>
      </c>
      <c r="N196" s="35">
        <f t="shared" si="94"/>
        <v>0</v>
      </c>
      <c r="O196" s="34">
        <f t="shared" si="82"/>
        <v>-0.06580645161290322</v>
      </c>
      <c r="P196" s="11">
        <v>57.92</v>
      </c>
      <c r="Q196" s="18">
        <f t="shared" si="95"/>
        <v>-4.079999999999998</v>
      </c>
      <c r="R196" s="35">
        <f t="shared" si="96"/>
        <v>4.826666666666667</v>
      </c>
      <c r="S196" s="34">
        <f t="shared" si="83"/>
        <v>-0.4045904158263709</v>
      </c>
      <c r="T196" s="11">
        <v>62</v>
      </c>
      <c r="U196" s="18">
        <f t="shared" si="97"/>
        <v>-42.129999999999995</v>
      </c>
      <c r="V196" s="35">
        <f t="shared" si="98"/>
        <v>5.166666666666667</v>
      </c>
      <c r="W196" s="34">
        <f t="shared" si="75"/>
        <v>0.0606029741291505</v>
      </c>
      <c r="X196" s="11">
        <v>104.13</v>
      </c>
      <c r="Y196" s="18">
        <f t="shared" si="76"/>
        <v>5.949999999999989</v>
      </c>
      <c r="Z196" s="35">
        <f t="shared" si="77"/>
        <v>8.6775</v>
      </c>
      <c r="AA196" s="34">
        <f>AB196/AF196-1</f>
        <v>4.040041067761807</v>
      </c>
      <c r="AB196" s="11">
        <v>98.18</v>
      </c>
      <c r="AC196" s="18">
        <f t="shared" si="73"/>
        <v>78.7</v>
      </c>
      <c r="AD196" s="35">
        <f t="shared" si="74"/>
        <v>8.181666666666667</v>
      </c>
      <c r="AE196" s="34">
        <f>AF196/AJ196-1</f>
        <v>-0.5941666666666667</v>
      </c>
      <c r="AF196" s="11">
        <v>19.48</v>
      </c>
      <c r="AG196" s="18">
        <f t="shared" si="78"/>
        <v>-28.52</v>
      </c>
      <c r="AH196" s="35">
        <f t="shared" si="79"/>
        <v>1.6233333333333333</v>
      </c>
      <c r="AI196" s="13"/>
      <c r="AJ196" s="11">
        <v>48</v>
      </c>
      <c r="AK196" s="11"/>
      <c r="AL196" s="3"/>
    </row>
    <row r="197" spans="1:38" ht="15.75">
      <c r="A197" s="12" t="s">
        <v>353</v>
      </c>
      <c r="B197" s="6"/>
      <c r="C197" s="12" t="s">
        <v>354</v>
      </c>
      <c r="D197" s="6"/>
      <c r="E197" s="6" t="s">
        <v>353</v>
      </c>
      <c r="F197" s="6">
        <v>374.54</v>
      </c>
      <c r="G197" s="34">
        <f t="shared" si="86"/>
        <v>0.03922098999188539</v>
      </c>
      <c r="H197" s="11">
        <v>422.62</v>
      </c>
      <c r="I197" s="18">
        <f t="shared" si="91"/>
        <v>15.949999999999989</v>
      </c>
      <c r="J197" s="35">
        <f t="shared" si="92"/>
        <v>35.218333333333334</v>
      </c>
      <c r="K197" s="34">
        <f t="shared" si="81"/>
        <v>0.019044277946224986</v>
      </c>
      <c r="L197" s="11">
        <v>406.67</v>
      </c>
      <c r="M197" s="18">
        <f t="shared" si="93"/>
        <v>7.600000000000023</v>
      </c>
      <c r="N197" s="35">
        <f t="shared" si="94"/>
        <v>33.88916666666667</v>
      </c>
      <c r="O197" s="34">
        <f t="shared" si="82"/>
        <v>0.02346635207221981</v>
      </c>
      <c r="P197" s="11">
        <v>399.07</v>
      </c>
      <c r="Q197" s="18">
        <f t="shared" si="95"/>
        <v>9.149999999999977</v>
      </c>
      <c r="R197" s="35">
        <f t="shared" si="96"/>
        <v>33.255833333333335</v>
      </c>
      <c r="S197" s="34">
        <f t="shared" si="83"/>
        <v>0.041063704811235</v>
      </c>
      <c r="T197" s="11">
        <v>389.92</v>
      </c>
      <c r="U197" s="18">
        <f t="shared" si="97"/>
        <v>15.379999999999995</v>
      </c>
      <c r="V197" s="35">
        <f t="shared" si="98"/>
        <v>32.49333333333333</v>
      </c>
      <c r="W197" s="34">
        <f t="shared" si="75"/>
        <v>0</v>
      </c>
      <c r="X197" s="11">
        <v>374.54</v>
      </c>
      <c r="Y197" s="18">
        <f t="shared" si="76"/>
        <v>0</v>
      </c>
      <c r="Z197" s="35">
        <f t="shared" si="77"/>
        <v>31.21166666666667</v>
      </c>
      <c r="AA197" s="34">
        <f>AB197/AF197-1</f>
        <v>0</v>
      </c>
      <c r="AB197" s="11">
        <v>374.54</v>
      </c>
      <c r="AC197" s="18">
        <f t="shared" si="73"/>
        <v>0</v>
      </c>
      <c r="AD197" s="35">
        <f t="shared" si="74"/>
        <v>31.21166666666667</v>
      </c>
      <c r="AE197" s="34">
        <f>AF197/AJ197-1</f>
        <v>0.5898633160709739</v>
      </c>
      <c r="AF197" s="11">
        <v>374.54</v>
      </c>
      <c r="AG197" s="18">
        <f t="shared" si="78"/>
        <v>138.96</v>
      </c>
      <c r="AH197" s="35">
        <f t="shared" si="79"/>
        <v>31.21166666666667</v>
      </c>
      <c r="AI197" s="10">
        <f t="shared" si="80"/>
        <v>-0.6215703913127288</v>
      </c>
      <c r="AJ197" s="11">
        <v>235.58</v>
      </c>
      <c r="AK197" s="11">
        <v>622.52</v>
      </c>
      <c r="AL197" s="3"/>
    </row>
    <row r="198" spans="1:38" ht="15.75">
      <c r="A198" s="12" t="s">
        <v>355</v>
      </c>
      <c r="B198" s="6"/>
      <c r="C198" s="12" t="s">
        <v>356</v>
      </c>
      <c r="D198" s="6"/>
      <c r="E198" s="6"/>
      <c r="F198" s="6"/>
      <c r="G198" s="34" t="e">
        <f t="shared" si="86"/>
        <v>#DIV/0!</v>
      </c>
      <c r="H198" s="11"/>
      <c r="I198" s="18">
        <f t="shared" si="91"/>
        <v>0</v>
      </c>
      <c r="J198" s="35">
        <f t="shared" si="92"/>
        <v>0</v>
      </c>
      <c r="K198" s="34" t="e">
        <f t="shared" si="81"/>
        <v>#DIV/0!</v>
      </c>
      <c r="L198" s="11"/>
      <c r="M198" s="18">
        <f t="shared" si="93"/>
        <v>0</v>
      </c>
      <c r="N198" s="35">
        <f t="shared" si="94"/>
        <v>0</v>
      </c>
      <c r="O198" s="34" t="e">
        <f t="shared" si="82"/>
        <v>#DIV/0!</v>
      </c>
      <c r="P198" s="11"/>
      <c r="Q198" s="18">
        <f t="shared" si="95"/>
        <v>0</v>
      </c>
      <c r="R198" s="35">
        <f t="shared" si="96"/>
        <v>0</v>
      </c>
      <c r="S198" s="34" t="e">
        <f t="shared" si="83"/>
        <v>#DIV/0!</v>
      </c>
      <c r="T198" s="11"/>
      <c r="U198" s="18">
        <f t="shared" si="97"/>
        <v>0</v>
      </c>
      <c r="V198" s="35">
        <f t="shared" si="98"/>
        <v>0</v>
      </c>
      <c r="W198" s="34" t="e">
        <f t="shared" si="75"/>
        <v>#DIV/0!</v>
      </c>
      <c r="X198" s="11"/>
      <c r="Y198" s="18">
        <f t="shared" si="76"/>
        <v>0</v>
      </c>
      <c r="Z198" s="35">
        <f t="shared" si="77"/>
        <v>0</v>
      </c>
      <c r="AA198" s="34"/>
      <c r="AB198" s="11"/>
      <c r="AC198" s="18">
        <f t="shared" si="73"/>
        <v>0</v>
      </c>
      <c r="AD198" s="35">
        <f t="shared" si="74"/>
        <v>0</v>
      </c>
      <c r="AE198" s="34"/>
      <c r="AF198" s="11"/>
      <c r="AG198" s="18">
        <f t="shared" si="78"/>
        <v>0</v>
      </c>
      <c r="AH198" s="35">
        <f t="shared" si="79"/>
        <v>0</v>
      </c>
      <c r="AI198" s="10"/>
      <c r="AJ198" s="11"/>
      <c r="AK198" s="11"/>
      <c r="AL198" s="3"/>
    </row>
    <row r="199" spans="1:38" ht="15.75">
      <c r="A199" s="12" t="s">
        <v>357</v>
      </c>
      <c r="B199" s="6"/>
      <c r="C199" s="12" t="s">
        <v>358</v>
      </c>
      <c r="D199" s="6"/>
      <c r="E199" s="6" t="s">
        <v>357</v>
      </c>
      <c r="F199" s="6">
        <v>1453.61</v>
      </c>
      <c r="G199" s="34">
        <f t="shared" si="86"/>
        <v>50.59423076923076</v>
      </c>
      <c r="H199" s="11">
        <f>3240.02-250-750-1971.73</f>
        <v>268.28999999999996</v>
      </c>
      <c r="I199" s="18">
        <f t="shared" si="91"/>
        <v>263.09</v>
      </c>
      <c r="J199" s="35">
        <f t="shared" si="92"/>
        <v>22.357499999999998</v>
      </c>
      <c r="K199" s="34">
        <f t="shared" si="81"/>
        <v>-0.9273743016759777</v>
      </c>
      <c r="L199" s="11">
        <v>5.2</v>
      </c>
      <c r="M199" s="18">
        <f t="shared" si="93"/>
        <v>-66.39999999999999</v>
      </c>
      <c r="N199" s="35">
        <f t="shared" si="94"/>
        <v>0.43333333333333335</v>
      </c>
      <c r="O199" s="34">
        <f t="shared" si="82"/>
        <v>-0.90493892724376</v>
      </c>
      <c r="P199" s="11">
        <v>71.6</v>
      </c>
      <c r="Q199" s="18">
        <f t="shared" si="95"/>
        <v>-681.6</v>
      </c>
      <c r="R199" s="35">
        <f t="shared" si="96"/>
        <v>5.966666666666666</v>
      </c>
      <c r="S199" s="34">
        <f t="shared" si="83"/>
        <v>0.08746498801651725</v>
      </c>
      <c r="T199" s="11">
        <f>713.2+40</f>
        <v>753.2</v>
      </c>
      <c r="U199" s="18">
        <f t="shared" si="97"/>
        <v>60.580000000000155</v>
      </c>
      <c r="V199" s="35">
        <f t="shared" si="98"/>
        <v>62.76666666666667</v>
      </c>
      <c r="W199" s="34">
        <f t="shared" si="75"/>
        <v>0.26210867742993527</v>
      </c>
      <c r="X199" s="11">
        <f>140.2+552.42</f>
        <v>692.6199999999999</v>
      </c>
      <c r="Y199" s="18">
        <f t="shared" si="76"/>
        <v>143.83999999999992</v>
      </c>
      <c r="Z199" s="35">
        <f t="shared" si="77"/>
        <v>57.71833333333333</v>
      </c>
      <c r="AA199" s="34">
        <f>AB199/AF199-1</f>
        <v>-0.6224709516307676</v>
      </c>
      <c r="AB199" s="11">
        <v>548.78</v>
      </c>
      <c r="AC199" s="18">
        <f t="shared" si="73"/>
        <v>-904.8299999999999</v>
      </c>
      <c r="AD199" s="35">
        <f t="shared" si="74"/>
        <v>45.73166666666666</v>
      </c>
      <c r="AE199" s="34">
        <f>AF199/AJ199-1</f>
        <v>-0.7563611984077101</v>
      </c>
      <c r="AF199" s="11">
        <v>1453.61</v>
      </c>
      <c r="AG199" s="18">
        <f t="shared" si="78"/>
        <v>-4512.64</v>
      </c>
      <c r="AH199" s="35">
        <f t="shared" si="79"/>
        <v>121.13416666666666</v>
      </c>
      <c r="AI199" s="10">
        <f t="shared" si="80"/>
        <v>1.7397653433747386</v>
      </c>
      <c r="AJ199" s="11">
        <v>5966.25</v>
      </c>
      <c r="AK199" s="11">
        <v>2177.65</v>
      </c>
      <c r="AL199" s="3"/>
    </row>
    <row r="200" spans="1:38" ht="15.75">
      <c r="A200" s="12" t="s">
        <v>359</v>
      </c>
      <c r="B200" s="6"/>
      <c r="C200" s="12" t="s">
        <v>360</v>
      </c>
      <c r="D200" s="6"/>
      <c r="E200" s="6" t="s">
        <v>359</v>
      </c>
      <c r="F200" s="6">
        <v>840.6</v>
      </c>
      <c r="G200" s="34">
        <f t="shared" si="86"/>
        <v>11.333333333333334</v>
      </c>
      <c r="H200" s="11">
        <f>2041.45-191.45</f>
        <v>1850</v>
      </c>
      <c r="I200" s="18">
        <f t="shared" si="91"/>
        <v>1700</v>
      </c>
      <c r="J200" s="35">
        <f t="shared" si="92"/>
        <v>154.16666666666666</v>
      </c>
      <c r="K200" s="34">
        <f t="shared" si="81"/>
        <v>-0.7215467151794168</v>
      </c>
      <c r="L200" s="11">
        <v>150</v>
      </c>
      <c r="M200" s="18">
        <f t="shared" si="93"/>
        <v>-388.69000000000005</v>
      </c>
      <c r="N200" s="35">
        <f t="shared" si="94"/>
        <v>12.5</v>
      </c>
      <c r="O200" s="34">
        <f t="shared" si="82"/>
        <v>1.4485909090909095</v>
      </c>
      <c r="P200" s="11">
        <v>538.69</v>
      </c>
      <c r="Q200" s="18">
        <f t="shared" si="95"/>
        <v>318.69000000000005</v>
      </c>
      <c r="R200" s="35">
        <f t="shared" si="96"/>
        <v>44.89083333333334</v>
      </c>
      <c r="S200" s="34">
        <f t="shared" si="83"/>
        <v>-0.7515471834485251</v>
      </c>
      <c r="T200" s="11">
        <v>220</v>
      </c>
      <c r="U200" s="18">
        <f t="shared" si="97"/>
        <v>-665.48</v>
      </c>
      <c r="V200" s="35">
        <f t="shared" si="98"/>
        <v>18.333333333333332</v>
      </c>
      <c r="W200" s="34">
        <f t="shared" si="75"/>
        <v>-0.015575492779241529</v>
      </c>
      <c r="X200" s="11">
        <v>885.48</v>
      </c>
      <c r="Y200" s="18">
        <f t="shared" si="76"/>
        <v>-14.009999999999991</v>
      </c>
      <c r="Z200" s="35">
        <f t="shared" si="77"/>
        <v>73.79</v>
      </c>
      <c r="AA200" s="34">
        <f>AB200/AF200-1</f>
        <v>0.07005710206995008</v>
      </c>
      <c r="AB200" s="11">
        <v>899.49</v>
      </c>
      <c r="AC200" s="18">
        <f t="shared" si="73"/>
        <v>58.889999999999986</v>
      </c>
      <c r="AD200" s="35">
        <f t="shared" si="74"/>
        <v>74.9575</v>
      </c>
      <c r="AE200" s="34">
        <f>AF200/AJ200-1</f>
        <v>0.6812</v>
      </c>
      <c r="AF200" s="11">
        <v>840.6</v>
      </c>
      <c r="AG200" s="18">
        <f t="shared" si="78"/>
        <v>340.6</v>
      </c>
      <c r="AH200" s="35">
        <f t="shared" si="79"/>
        <v>70.05</v>
      </c>
      <c r="AI200" s="13"/>
      <c r="AJ200" s="11">
        <v>500</v>
      </c>
      <c r="AK200" s="11"/>
      <c r="AL200" s="3"/>
    </row>
    <row r="201" spans="1:38" s="20" customFormat="1" ht="15.75">
      <c r="A201" s="15"/>
      <c r="B201" s="16" t="s">
        <v>361</v>
      </c>
      <c r="C201" s="15"/>
      <c r="D201" s="16" t="s">
        <v>362</v>
      </c>
      <c r="E201" s="6"/>
      <c r="F201" s="6"/>
      <c r="G201" s="32" t="e">
        <f t="shared" si="86"/>
        <v>#DIV/0!</v>
      </c>
      <c r="H201" s="18">
        <f>SUM(H202:H203)</f>
        <v>1971.73</v>
      </c>
      <c r="I201" s="18">
        <f t="shared" si="91"/>
        <v>1971.73</v>
      </c>
      <c r="J201" s="33">
        <f t="shared" si="92"/>
        <v>164.31083333333333</v>
      </c>
      <c r="K201" s="32" t="e">
        <f t="shared" si="81"/>
        <v>#DIV/0!</v>
      </c>
      <c r="L201" s="18">
        <f>SUM(L202:L203)</f>
        <v>0</v>
      </c>
      <c r="M201" s="18">
        <f t="shared" si="93"/>
        <v>0</v>
      </c>
      <c r="N201" s="33">
        <f t="shared" si="94"/>
        <v>0</v>
      </c>
      <c r="O201" s="32" t="e">
        <f t="shared" si="82"/>
        <v>#DIV/0!</v>
      </c>
      <c r="P201" s="18">
        <f>SUM(P202:P203)</f>
        <v>0</v>
      </c>
      <c r="Q201" s="18">
        <f t="shared" si="95"/>
        <v>0</v>
      </c>
      <c r="R201" s="33">
        <f t="shared" si="96"/>
        <v>0</v>
      </c>
      <c r="S201" s="32">
        <f t="shared" si="83"/>
        <v>-1</v>
      </c>
      <c r="T201" s="18">
        <f>SUM(T202:T203)</f>
        <v>0</v>
      </c>
      <c r="U201" s="18">
        <f t="shared" si="97"/>
        <v>-100</v>
      </c>
      <c r="V201" s="33">
        <f t="shared" si="98"/>
        <v>0</v>
      </c>
      <c r="W201" s="32" t="e">
        <f t="shared" si="75"/>
        <v>#DIV/0!</v>
      </c>
      <c r="X201" s="18">
        <f>SUM(X202:X203)</f>
        <v>100</v>
      </c>
      <c r="Y201" s="18">
        <f t="shared" si="76"/>
        <v>100</v>
      </c>
      <c r="Z201" s="33">
        <f t="shared" si="77"/>
        <v>8.333333333333334</v>
      </c>
      <c r="AA201" s="32">
        <f>AB201/AF201-1</f>
        <v>-1</v>
      </c>
      <c r="AB201" s="18">
        <f>SUM(AB202:AB203)</f>
        <v>0</v>
      </c>
      <c r="AC201" s="18">
        <f t="shared" si="73"/>
        <v>-1625</v>
      </c>
      <c r="AD201" s="33">
        <f t="shared" si="74"/>
        <v>0</v>
      </c>
      <c r="AE201" s="32">
        <f>AF201/AJ201-1</f>
        <v>4.416666666666667</v>
      </c>
      <c r="AF201" s="18">
        <f>SUM(AF202:AF203)</f>
        <v>1625</v>
      </c>
      <c r="AG201" s="18">
        <f t="shared" si="78"/>
        <v>1325</v>
      </c>
      <c r="AH201" s="33">
        <f t="shared" si="79"/>
        <v>135.41666666666666</v>
      </c>
      <c r="AI201" s="17">
        <f t="shared" si="80"/>
        <v>-0.7722268620454027</v>
      </c>
      <c r="AJ201" s="18">
        <f>SUM(AJ202:AJ203)</f>
        <v>300</v>
      </c>
      <c r="AK201" s="18">
        <f>SUM(AK202:AK203)</f>
        <v>1317.1</v>
      </c>
      <c r="AL201" s="19">
        <f>SUM(AL202:AL203)</f>
        <v>0</v>
      </c>
    </row>
    <row r="202" spans="1:38" ht="15.75">
      <c r="A202" s="12" t="s">
        <v>363</v>
      </c>
      <c r="B202" s="6"/>
      <c r="C202" s="12" t="s">
        <v>364</v>
      </c>
      <c r="D202" s="6"/>
      <c r="E202" s="6" t="s">
        <v>363</v>
      </c>
      <c r="F202" s="6">
        <v>1625</v>
      </c>
      <c r="G202" s="34" t="e">
        <f t="shared" si="86"/>
        <v>#DIV/0!</v>
      </c>
      <c r="H202" s="11">
        <v>1971.73</v>
      </c>
      <c r="I202" s="18">
        <f t="shared" si="91"/>
        <v>1971.73</v>
      </c>
      <c r="J202" s="35">
        <f t="shared" si="92"/>
        <v>164.31083333333333</v>
      </c>
      <c r="K202" s="34" t="e">
        <f t="shared" si="81"/>
        <v>#DIV/0!</v>
      </c>
      <c r="L202" s="11"/>
      <c r="M202" s="18">
        <f t="shared" si="93"/>
        <v>0</v>
      </c>
      <c r="N202" s="35">
        <f t="shared" si="94"/>
        <v>0</v>
      </c>
      <c r="O202" s="34" t="e">
        <f t="shared" si="82"/>
        <v>#DIV/0!</v>
      </c>
      <c r="P202" s="11"/>
      <c r="Q202" s="18">
        <f t="shared" si="95"/>
        <v>0</v>
      </c>
      <c r="R202" s="35">
        <f t="shared" si="96"/>
        <v>0</v>
      </c>
      <c r="S202" s="34">
        <f t="shared" si="83"/>
        <v>-1</v>
      </c>
      <c r="T202" s="11"/>
      <c r="U202" s="18">
        <f t="shared" si="97"/>
        <v>-100</v>
      </c>
      <c r="V202" s="35">
        <f t="shared" si="98"/>
        <v>0</v>
      </c>
      <c r="W202" s="34" t="e">
        <f t="shared" si="75"/>
        <v>#DIV/0!</v>
      </c>
      <c r="X202" s="11">
        <v>100</v>
      </c>
      <c r="Y202" s="18">
        <f t="shared" si="76"/>
        <v>100</v>
      </c>
      <c r="Z202" s="35">
        <f t="shared" si="77"/>
        <v>8.333333333333334</v>
      </c>
      <c r="AA202" s="34">
        <f>AB202/AF202-1</f>
        <v>-1</v>
      </c>
      <c r="AB202" s="11"/>
      <c r="AC202" s="18">
        <f t="shared" si="73"/>
        <v>-1625</v>
      </c>
      <c r="AD202" s="35">
        <f t="shared" si="74"/>
        <v>0</v>
      </c>
      <c r="AE202" s="34">
        <f>AF202/AJ202-1</f>
        <v>4.416666666666667</v>
      </c>
      <c r="AF202" s="11">
        <v>1625</v>
      </c>
      <c r="AG202" s="18">
        <f t="shared" si="78"/>
        <v>1325</v>
      </c>
      <c r="AH202" s="35">
        <f t="shared" si="79"/>
        <v>135.41666666666666</v>
      </c>
      <c r="AI202" s="13"/>
      <c r="AJ202" s="11">
        <v>300</v>
      </c>
      <c r="AK202" s="11"/>
      <c r="AL202" s="3"/>
    </row>
    <row r="203" spans="1:38" ht="15.75">
      <c r="A203" s="12" t="s">
        <v>365</v>
      </c>
      <c r="B203" s="6"/>
      <c r="C203" s="12" t="s">
        <v>366</v>
      </c>
      <c r="D203" s="6"/>
      <c r="E203" s="6"/>
      <c r="F203" s="6"/>
      <c r="G203" s="34" t="e">
        <f t="shared" si="86"/>
        <v>#DIV/0!</v>
      </c>
      <c r="H203" s="11"/>
      <c r="I203" s="18">
        <f t="shared" si="91"/>
        <v>0</v>
      </c>
      <c r="J203" s="35">
        <f t="shared" si="92"/>
        <v>0</v>
      </c>
      <c r="K203" s="34" t="e">
        <f t="shared" si="81"/>
        <v>#DIV/0!</v>
      </c>
      <c r="L203" s="11"/>
      <c r="M203" s="18">
        <f t="shared" si="93"/>
        <v>0</v>
      </c>
      <c r="N203" s="35">
        <f t="shared" si="94"/>
        <v>0</v>
      </c>
      <c r="O203" s="34" t="e">
        <f t="shared" si="82"/>
        <v>#DIV/0!</v>
      </c>
      <c r="P203" s="11"/>
      <c r="Q203" s="18">
        <f t="shared" si="95"/>
        <v>0</v>
      </c>
      <c r="R203" s="35">
        <f t="shared" si="96"/>
        <v>0</v>
      </c>
      <c r="S203" s="34" t="e">
        <f t="shared" si="83"/>
        <v>#DIV/0!</v>
      </c>
      <c r="T203" s="11"/>
      <c r="U203" s="18">
        <f t="shared" si="97"/>
        <v>0</v>
      </c>
      <c r="V203" s="35">
        <f t="shared" si="98"/>
        <v>0</v>
      </c>
      <c r="W203" s="34" t="e">
        <f t="shared" si="75"/>
        <v>#DIV/0!</v>
      </c>
      <c r="X203" s="11"/>
      <c r="Y203" s="18">
        <f t="shared" si="76"/>
        <v>0</v>
      </c>
      <c r="Z203" s="35">
        <f t="shared" si="77"/>
        <v>0</v>
      </c>
      <c r="AA203" s="34"/>
      <c r="AB203" s="11"/>
      <c r="AC203" s="18">
        <f>+AB203-AF203</f>
        <v>0</v>
      </c>
      <c r="AD203" s="35">
        <f>+AB203/12</f>
        <v>0</v>
      </c>
      <c r="AE203" s="34"/>
      <c r="AF203" s="11"/>
      <c r="AG203" s="18">
        <f t="shared" si="78"/>
        <v>0</v>
      </c>
      <c r="AH203" s="35">
        <f t="shared" si="79"/>
        <v>0</v>
      </c>
      <c r="AI203" s="10">
        <f t="shared" si="80"/>
        <v>-1</v>
      </c>
      <c r="AJ203" s="11"/>
      <c r="AK203" s="11">
        <v>1317.1</v>
      </c>
      <c r="AL203" s="3"/>
    </row>
    <row r="204" spans="1:38" s="20" customFormat="1" ht="15.75">
      <c r="A204" s="15"/>
      <c r="B204" s="16" t="s">
        <v>367</v>
      </c>
      <c r="C204" s="15"/>
      <c r="D204" s="16" t="s">
        <v>368</v>
      </c>
      <c r="E204" s="6"/>
      <c r="F204" s="6"/>
      <c r="G204" s="32">
        <f t="shared" si="86"/>
        <v>-0.07205263495182967</v>
      </c>
      <c r="H204" s="18">
        <f>+H205</f>
        <v>3475.2</v>
      </c>
      <c r="I204" s="18">
        <f t="shared" si="91"/>
        <v>-269.84000000000015</v>
      </c>
      <c r="J204" s="33">
        <f t="shared" si="92"/>
        <v>289.59999999999997</v>
      </c>
      <c r="K204" s="32">
        <f t="shared" si="81"/>
        <v>0.15535948418146206</v>
      </c>
      <c r="L204" s="18">
        <f>+L205</f>
        <v>3745.04</v>
      </c>
      <c r="M204" s="18">
        <f t="shared" si="93"/>
        <v>503.59000000000015</v>
      </c>
      <c r="N204" s="33">
        <f t="shared" si="94"/>
        <v>312.08666666666664</v>
      </c>
      <c r="O204" s="32">
        <f t="shared" si="82"/>
        <v>-0.4972095202049972</v>
      </c>
      <c r="P204" s="18">
        <f>+P205</f>
        <v>3241.45</v>
      </c>
      <c r="Q204" s="18">
        <f t="shared" si="95"/>
        <v>-3205.4700000000003</v>
      </c>
      <c r="R204" s="33">
        <f t="shared" si="96"/>
        <v>270.12083333333334</v>
      </c>
      <c r="S204" s="32">
        <f t="shared" si="83"/>
        <v>0.35802682383770024</v>
      </c>
      <c r="T204" s="18">
        <f>+T205</f>
        <v>6446.92</v>
      </c>
      <c r="U204" s="18">
        <f t="shared" si="97"/>
        <v>1699.6499999999996</v>
      </c>
      <c r="V204" s="33">
        <f t="shared" si="98"/>
        <v>537.2433333333333</v>
      </c>
      <c r="W204" s="32">
        <f t="shared" si="75"/>
        <v>1.5686605524443364</v>
      </c>
      <c r="X204" s="18">
        <f>+X205</f>
        <v>4747.27</v>
      </c>
      <c r="Y204" s="18">
        <f t="shared" si="76"/>
        <v>2899.1200000000003</v>
      </c>
      <c r="Z204" s="33">
        <f t="shared" si="77"/>
        <v>395.60583333333335</v>
      </c>
      <c r="AA204" s="32">
        <f>AB204/AF204-1</f>
        <v>-0.3444393602417716</v>
      </c>
      <c r="AB204" s="18">
        <f>+AB205</f>
        <v>1848.15</v>
      </c>
      <c r="AC204" s="18">
        <f>+AB204-AF204</f>
        <v>-971.04</v>
      </c>
      <c r="AD204" s="33">
        <f>+AB204/12</f>
        <v>154.01250000000002</v>
      </c>
      <c r="AE204" s="32">
        <f>AF204/AJ204-1</f>
        <v>1.4098112626936095</v>
      </c>
      <c r="AF204" s="18">
        <f>+AF205</f>
        <v>2819.19</v>
      </c>
      <c r="AG204" s="18">
        <f t="shared" si="78"/>
        <v>1649.31</v>
      </c>
      <c r="AH204" s="33">
        <f t="shared" si="79"/>
        <v>234.9325</v>
      </c>
      <c r="AI204" s="23"/>
      <c r="AJ204" s="18">
        <f>+AJ205</f>
        <v>1169.88</v>
      </c>
      <c r="AK204" s="18">
        <f>+AK205</f>
        <v>0</v>
      </c>
      <c r="AL204" s="19">
        <f>+AL205</f>
        <v>0</v>
      </c>
    </row>
    <row r="205" spans="1:38" ht="15.75">
      <c r="A205" s="12" t="s">
        <v>369</v>
      </c>
      <c r="B205" s="6"/>
      <c r="C205" s="12" t="s">
        <v>370</v>
      </c>
      <c r="D205" s="6"/>
      <c r="E205" s="6" t="s">
        <v>369</v>
      </c>
      <c r="F205" s="6">
        <v>2819.19</v>
      </c>
      <c r="G205" s="34">
        <f t="shared" si="86"/>
        <v>-0.07205263495182967</v>
      </c>
      <c r="H205" s="11">
        <v>3475.2</v>
      </c>
      <c r="I205" s="18">
        <f t="shared" si="91"/>
        <v>-269.84000000000015</v>
      </c>
      <c r="J205" s="35">
        <f t="shared" si="92"/>
        <v>289.59999999999997</v>
      </c>
      <c r="K205" s="34">
        <f t="shared" si="81"/>
        <v>0.15535948418146206</v>
      </c>
      <c r="L205" s="11">
        <v>3745.04</v>
      </c>
      <c r="M205" s="18">
        <f t="shared" si="93"/>
        <v>503.59000000000015</v>
      </c>
      <c r="N205" s="35">
        <f t="shared" si="94"/>
        <v>312.08666666666664</v>
      </c>
      <c r="O205" s="34">
        <f t="shared" si="82"/>
        <v>-0.4972095202049972</v>
      </c>
      <c r="P205" s="11">
        <v>3241.45</v>
      </c>
      <c r="Q205" s="18">
        <f t="shared" si="95"/>
        <v>-3205.4700000000003</v>
      </c>
      <c r="R205" s="35">
        <f t="shared" si="96"/>
        <v>270.12083333333334</v>
      </c>
      <c r="S205" s="34">
        <f t="shared" si="83"/>
        <v>0.35802682383770024</v>
      </c>
      <c r="T205" s="11">
        <v>6446.92</v>
      </c>
      <c r="U205" s="18">
        <f t="shared" si="97"/>
        <v>1699.6499999999996</v>
      </c>
      <c r="V205" s="35">
        <f t="shared" si="98"/>
        <v>537.2433333333333</v>
      </c>
      <c r="W205" s="34">
        <f t="shared" si="75"/>
        <v>1.5686605524443364</v>
      </c>
      <c r="X205" s="11">
        <v>4747.27</v>
      </c>
      <c r="Y205" s="18">
        <f t="shared" si="76"/>
        <v>2899.1200000000003</v>
      </c>
      <c r="Z205" s="35">
        <f t="shared" si="77"/>
        <v>395.60583333333335</v>
      </c>
      <c r="AA205" s="34">
        <f>AB205/AF205-1</f>
        <v>-0.3444393602417716</v>
      </c>
      <c r="AB205" s="11">
        <v>1848.15</v>
      </c>
      <c r="AC205" s="18">
        <f>+AB205-AF205</f>
        <v>-971.04</v>
      </c>
      <c r="AD205" s="35">
        <f>+AB205/12</f>
        <v>154.01250000000002</v>
      </c>
      <c r="AE205" s="34">
        <f>AF205/AJ205-1</f>
        <v>1.4098112626936095</v>
      </c>
      <c r="AF205" s="11">
        <v>2819.19</v>
      </c>
      <c r="AG205" s="18">
        <f t="shared" si="78"/>
        <v>1649.31</v>
      </c>
      <c r="AH205" s="35">
        <f t="shared" si="79"/>
        <v>234.9325</v>
      </c>
      <c r="AI205" s="13"/>
      <c r="AJ205" s="11">
        <v>1169.88</v>
      </c>
      <c r="AK205" s="11"/>
      <c r="AL205" s="3"/>
    </row>
    <row r="206" spans="1:38" ht="15.75">
      <c r="A206" s="12">
        <v>218</v>
      </c>
      <c r="B206" s="24"/>
      <c r="C206" s="12" t="s">
        <v>382</v>
      </c>
      <c r="D206" s="16"/>
      <c r="E206" s="6">
        <v>218</v>
      </c>
      <c r="F206" s="6">
        <v>200</v>
      </c>
      <c r="G206" s="34">
        <f>H206/L206-1</f>
        <v>-0.5555555555555556</v>
      </c>
      <c r="H206" s="11">
        <v>200</v>
      </c>
      <c r="I206" s="18">
        <f>+H206-L206</f>
        <v>-250</v>
      </c>
      <c r="J206" s="35"/>
      <c r="K206" s="34">
        <f>L206/P206-1</f>
        <v>0.5</v>
      </c>
      <c r="L206" s="11">
        <v>450</v>
      </c>
      <c r="M206" s="18">
        <f>+L206-P206</f>
        <v>150</v>
      </c>
      <c r="N206" s="35"/>
      <c r="O206" s="34">
        <f>P206/T206-1</f>
        <v>2</v>
      </c>
      <c r="P206" s="11">
        <v>300</v>
      </c>
      <c r="Q206" s="18">
        <f>+P206-T206</f>
        <v>200</v>
      </c>
      <c r="R206" s="35"/>
      <c r="S206" s="34">
        <f>T206/X206-1</f>
        <v>-0.6666666666666667</v>
      </c>
      <c r="T206" s="11">
        <v>100</v>
      </c>
      <c r="U206" s="18">
        <f>+T206-X206</f>
        <v>-200</v>
      </c>
      <c r="V206" s="35"/>
      <c r="W206" s="34">
        <f>X206/AB206-1</f>
        <v>-0.4545454545454546</v>
      </c>
      <c r="X206" s="11">
        <v>300</v>
      </c>
      <c r="Y206" s="18">
        <f>+X206-AB206</f>
        <v>-250</v>
      </c>
      <c r="Z206" s="35"/>
      <c r="AA206" s="34"/>
      <c r="AB206" s="11">
        <v>550</v>
      </c>
      <c r="AC206" s="18">
        <f>+AB206-AF206</f>
        <v>350</v>
      </c>
      <c r="AD206" s="35"/>
      <c r="AE206" s="34"/>
      <c r="AF206" s="11">
        <v>200</v>
      </c>
      <c r="AG206" s="18">
        <f t="shared" si="78"/>
        <v>200</v>
      </c>
      <c r="AH206" s="35"/>
      <c r="AI206" s="13"/>
      <c r="AJ206" s="11"/>
      <c r="AK206" s="11"/>
      <c r="AL206" s="3"/>
    </row>
    <row r="207" spans="1:38" ht="15.75">
      <c r="A207" s="12"/>
      <c r="B207" s="6"/>
      <c r="C207" s="12"/>
      <c r="D207" s="6"/>
      <c r="E207" s="6"/>
      <c r="F207" s="6"/>
      <c r="G207" s="34" t="e">
        <f>H207/L207-1</f>
        <v>#DIV/0!</v>
      </c>
      <c r="H207" s="11"/>
      <c r="I207" s="18">
        <f>+H207-L207</f>
        <v>0</v>
      </c>
      <c r="J207" s="35"/>
      <c r="K207" s="34" t="e">
        <f>L207/P207-1</f>
        <v>#DIV/0!</v>
      </c>
      <c r="L207" s="11"/>
      <c r="M207" s="18">
        <f>+L207-P207</f>
        <v>0</v>
      </c>
      <c r="N207" s="35"/>
      <c r="O207" s="34" t="e">
        <f>P207/T207-1</f>
        <v>#DIV/0!</v>
      </c>
      <c r="P207" s="11"/>
      <c r="Q207" s="18">
        <f>+P207-T207</f>
        <v>0</v>
      </c>
      <c r="R207" s="35"/>
      <c r="S207" s="34" t="e">
        <f>T207/X207-1</f>
        <v>#DIV/0!</v>
      </c>
      <c r="T207" s="11"/>
      <c r="U207" s="18">
        <f>+T207-X207</f>
        <v>0</v>
      </c>
      <c r="V207" s="35"/>
      <c r="W207" s="34" t="e">
        <f>X207/AB207-1</f>
        <v>#DIV/0!</v>
      </c>
      <c r="X207" s="11"/>
      <c r="Y207" s="18">
        <f>+X207-AB207</f>
        <v>0</v>
      </c>
      <c r="Z207" s="35"/>
      <c r="AA207" s="34"/>
      <c r="AB207" s="11"/>
      <c r="AC207" s="11"/>
      <c r="AD207" s="35"/>
      <c r="AE207" s="34"/>
      <c r="AF207" s="11"/>
      <c r="AG207" s="11"/>
      <c r="AH207" s="35"/>
      <c r="AI207" s="13"/>
      <c r="AJ207" s="11"/>
      <c r="AK207" s="11"/>
      <c r="AL207" s="3"/>
    </row>
    <row r="208" spans="1:38" ht="12.75">
      <c r="A208" s="12" t="s">
        <v>371</v>
      </c>
      <c r="B208" s="6"/>
      <c r="C208" s="12" t="s">
        <v>372</v>
      </c>
      <c r="D208" s="6"/>
      <c r="E208" s="6"/>
      <c r="F208" s="6"/>
      <c r="G208" s="38"/>
      <c r="H208" s="39"/>
      <c r="I208" s="39"/>
      <c r="J208" s="40"/>
      <c r="K208" s="38"/>
      <c r="L208" s="39"/>
      <c r="M208" s="39"/>
      <c r="N208" s="40"/>
      <c r="O208" s="38"/>
      <c r="P208" s="39"/>
      <c r="Q208" s="39"/>
      <c r="R208" s="40"/>
      <c r="S208" s="38"/>
      <c r="T208" s="39"/>
      <c r="U208" s="39"/>
      <c r="V208" s="40"/>
      <c r="W208" s="38"/>
      <c r="X208" s="39"/>
      <c r="Y208" s="39"/>
      <c r="Z208" s="40"/>
      <c r="AA208" s="38"/>
      <c r="AB208" s="39"/>
      <c r="AC208" s="39"/>
      <c r="AD208" s="40"/>
      <c r="AE208" s="38"/>
      <c r="AF208" s="39"/>
      <c r="AG208" s="39"/>
      <c r="AH208" s="40"/>
      <c r="AI208" s="14"/>
      <c r="AJ208" s="11"/>
      <c r="AK208" s="11"/>
      <c r="AL208" s="3"/>
    </row>
    <row r="209" spans="8:38" ht="12.75">
      <c r="H209" s="3"/>
      <c r="I209" s="3"/>
      <c r="J209" s="3"/>
      <c r="L209" s="3"/>
      <c r="M209" s="3"/>
      <c r="N209" s="3"/>
      <c r="P209" s="3"/>
      <c r="Q209" s="3"/>
      <c r="R209" s="3"/>
      <c r="T209" s="3"/>
      <c r="U209" s="3"/>
      <c r="V209" s="3"/>
      <c r="X209" s="3"/>
      <c r="Y209" s="3"/>
      <c r="Z209" s="3"/>
      <c r="AB209" s="3"/>
      <c r="AC209" s="3"/>
      <c r="AD209" s="3"/>
      <c r="AF209" s="3"/>
      <c r="AG209" s="3"/>
      <c r="AH209" s="3"/>
      <c r="AJ209" s="3"/>
      <c r="AK209" s="3"/>
      <c r="AL209" s="3"/>
    </row>
    <row r="210" spans="8:38" ht="12.75">
      <c r="H210" s="3"/>
      <c r="I210" s="3"/>
      <c r="J210" s="3"/>
      <c r="L210" s="3"/>
      <c r="M210" s="3"/>
      <c r="N210" s="3"/>
      <c r="P210" s="3"/>
      <c r="Q210" s="3"/>
      <c r="R210" s="3"/>
      <c r="T210" s="3"/>
      <c r="U210" s="3"/>
      <c r="V210" s="3"/>
      <c r="X210" s="3"/>
      <c r="Y210" s="3"/>
      <c r="Z210" s="3"/>
      <c r="AB210" s="3"/>
      <c r="AC210" s="3"/>
      <c r="AD210" s="3"/>
      <c r="AF210" s="3"/>
      <c r="AG210" s="3"/>
      <c r="AH210" s="3"/>
      <c r="AJ210" s="3"/>
      <c r="AK210" s="3"/>
      <c r="AL210" s="3"/>
    </row>
    <row r="211" spans="8:40" ht="12.75">
      <c r="H211" s="3"/>
      <c r="I211" s="3"/>
      <c r="J211" s="3"/>
      <c r="L211" s="3"/>
      <c r="M211" s="3"/>
      <c r="N211" s="3"/>
      <c r="P211" s="3"/>
      <c r="Q211" s="3"/>
      <c r="R211" s="3"/>
      <c r="T211" s="3"/>
      <c r="U211" s="3"/>
      <c r="V211" s="3"/>
      <c r="X211" s="3"/>
      <c r="Y211" s="3"/>
      <c r="Z211" s="3"/>
      <c r="AB211" s="3"/>
      <c r="AC211" s="3"/>
      <c r="AD211" s="3"/>
      <c r="AF211" s="3"/>
      <c r="AG211" s="3"/>
      <c r="AH211" s="3"/>
      <c r="AJ211" s="3"/>
      <c r="AK211" s="3"/>
      <c r="AL211" s="3"/>
      <c r="AN211" s="2"/>
    </row>
    <row r="212" spans="8:38" ht="12.75">
      <c r="H212" s="3"/>
      <c r="I212" s="3"/>
      <c r="J212" s="3"/>
      <c r="L212" s="3"/>
      <c r="M212" s="3"/>
      <c r="N212" s="3"/>
      <c r="P212" s="3"/>
      <c r="Q212" s="3"/>
      <c r="R212" s="3"/>
      <c r="T212" s="3"/>
      <c r="U212" s="3"/>
      <c r="V212" s="3"/>
      <c r="X212" s="3"/>
      <c r="Y212" s="3"/>
      <c r="Z212" s="3"/>
      <c r="AB212" s="3"/>
      <c r="AC212" s="3"/>
      <c r="AD212" s="3"/>
      <c r="AF212" s="3"/>
      <c r="AG212" s="3"/>
      <c r="AH212" s="3"/>
      <c r="AJ212" s="3"/>
      <c r="AK212" s="3"/>
      <c r="AL212" s="3"/>
    </row>
    <row r="213" spans="8:38" ht="12.75">
      <c r="H213" s="3"/>
      <c r="I213" s="3"/>
      <c r="J213" s="3"/>
      <c r="L213" s="3"/>
      <c r="M213" s="3"/>
      <c r="N213" s="3"/>
      <c r="P213" s="3"/>
      <c r="Q213" s="3"/>
      <c r="R213" s="3"/>
      <c r="T213" s="3"/>
      <c r="U213" s="3"/>
      <c r="V213" s="3"/>
      <c r="X213" s="3"/>
      <c r="Y213" s="3"/>
      <c r="Z213" s="3"/>
      <c r="AB213" s="3"/>
      <c r="AC213" s="3"/>
      <c r="AD213" s="3"/>
      <c r="AF213" s="3"/>
      <c r="AG213" s="3"/>
      <c r="AH213" s="3"/>
      <c r="AJ213" s="3"/>
      <c r="AK213" s="3"/>
      <c r="AL213" s="3"/>
    </row>
    <row r="214" spans="8:38" ht="12.75">
      <c r="H214" s="3"/>
      <c r="I214" s="3"/>
      <c r="J214" s="3"/>
      <c r="L214" s="3"/>
      <c r="M214" s="3"/>
      <c r="N214" s="3"/>
      <c r="P214" s="3"/>
      <c r="Q214" s="3"/>
      <c r="R214" s="3"/>
      <c r="T214" s="3"/>
      <c r="U214" s="3"/>
      <c r="V214" s="3"/>
      <c r="X214" s="3"/>
      <c r="Y214" s="3"/>
      <c r="Z214" s="3"/>
      <c r="AB214" s="3"/>
      <c r="AC214" s="3"/>
      <c r="AD214" s="3"/>
      <c r="AF214" s="3"/>
      <c r="AG214" s="3"/>
      <c r="AH214" s="3"/>
      <c r="AJ214" s="3"/>
      <c r="AK214" s="3"/>
      <c r="AL214" s="3"/>
    </row>
  </sheetData>
  <sheetProtection/>
  <printOptions/>
  <pageMargins left="0.5905511811023623" right="0.3937007874015748" top="0.3937007874015748" bottom="0.3937007874015748" header="0" footer="0"/>
  <pageSetup errors="NA" fitToHeight="6" fitToWidth="1" horizontalDpi="600" verticalDpi="600" orientation="landscape" paperSize="9" scale="91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21"/>
    </sheetView>
  </sheetViews>
  <sheetFormatPr defaultColWidth="9.140625" defaultRowHeight="12.75"/>
  <cols>
    <col min="3" max="3" width="20.28125" style="0" bestFit="1" customWidth="1"/>
    <col min="4" max="4" width="10.140625" style="0" bestFit="1" customWidth="1"/>
    <col min="5" max="5" width="11.421875" style="0" bestFit="1" customWidth="1"/>
  </cols>
  <sheetData>
    <row r="1" spans="4:5" ht="12.75">
      <c r="D1">
        <v>2014</v>
      </c>
      <c r="E1">
        <v>2013</v>
      </c>
    </row>
    <row r="2" spans="1:6" ht="15.75">
      <c r="A2" s="15"/>
      <c r="B2" s="16" t="s">
        <v>86</v>
      </c>
      <c r="C2" s="16" t="s">
        <v>87</v>
      </c>
      <c r="D2" s="18">
        <f>SUM(D3:D6)</f>
        <v>8506</v>
      </c>
      <c r="E2" s="18">
        <f>SUM(E3:E6)</f>
        <v>10402.94</v>
      </c>
      <c r="F2" s="3">
        <f>+D2-E2</f>
        <v>-1896.9400000000005</v>
      </c>
    </row>
    <row r="3" spans="1:6" ht="12.75">
      <c r="A3" s="12" t="s">
        <v>88</v>
      </c>
      <c r="B3" s="6"/>
      <c r="C3" s="12" t="s">
        <v>89</v>
      </c>
      <c r="D3" s="11">
        <v>551</v>
      </c>
      <c r="E3" s="11">
        <v>947.94</v>
      </c>
      <c r="F3" s="3">
        <f>+D3-E3</f>
        <v>-396.94000000000005</v>
      </c>
    </row>
    <row r="4" spans="1:6" ht="12.75">
      <c r="A4" s="12" t="s">
        <v>90</v>
      </c>
      <c r="B4" s="6"/>
      <c r="C4" s="12" t="s">
        <v>91</v>
      </c>
      <c r="D4" s="11">
        <v>3997.5</v>
      </c>
      <c r="E4" s="11">
        <v>5560</v>
      </c>
      <c r="F4" s="3">
        <f>+D4-E4</f>
        <v>-1562.5</v>
      </c>
    </row>
    <row r="5" spans="1:6" ht="12.75">
      <c r="A5" s="12" t="s">
        <v>92</v>
      </c>
      <c r="B5" s="6"/>
      <c r="C5" s="12" t="s">
        <v>93</v>
      </c>
      <c r="D5" s="11">
        <v>3905</v>
      </c>
      <c r="E5" s="11">
        <v>3895</v>
      </c>
      <c r="F5" s="3">
        <f>+D5-E5</f>
        <v>10</v>
      </c>
    </row>
    <row r="6" spans="1:6" ht="12.75">
      <c r="A6" s="12" t="s">
        <v>94</v>
      </c>
      <c r="B6" s="6"/>
      <c r="C6" s="12" t="s">
        <v>26</v>
      </c>
      <c r="D6" s="11">
        <v>52.5</v>
      </c>
      <c r="E6" s="11"/>
      <c r="F6" s="3">
        <f>+D6-E6</f>
        <v>52.5</v>
      </c>
    </row>
    <row r="9" spans="1:6" ht="15.75">
      <c r="A9" s="15"/>
      <c r="B9" s="16" t="s">
        <v>222</v>
      </c>
      <c r="C9" s="16" t="s">
        <v>87</v>
      </c>
      <c r="D9" s="18">
        <f>SUM(D10:D14)</f>
        <v>4567.79</v>
      </c>
      <c r="E9" s="18">
        <f>SUM(E10:E14)</f>
        <v>3357.19</v>
      </c>
      <c r="F9" s="3">
        <f aca="true" t="shared" si="0" ref="F9:F16">+D9-E9</f>
        <v>1210.6</v>
      </c>
    </row>
    <row r="10" spans="1:6" ht="12.75">
      <c r="A10" s="12" t="s">
        <v>223</v>
      </c>
      <c r="B10" s="6"/>
      <c r="C10" s="12" t="s">
        <v>512</v>
      </c>
      <c r="D10" s="11">
        <v>2344.71</v>
      </c>
      <c r="E10" s="11">
        <f>1216.97+689.91</f>
        <v>1906.88</v>
      </c>
      <c r="F10" s="3">
        <f t="shared" si="0"/>
        <v>437.8299999999999</v>
      </c>
    </row>
    <row r="11" spans="1:6" ht="12.75">
      <c r="A11" s="12" t="s">
        <v>227</v>
      </c>
      <c r="B11" s="6"/>
      <c r="C11" s="12" t="s">
        <v>228</v>
      </c>
      <c r="D11" s="11">
        <v>72.7</v>
      </c>
      <c r="E11" s="11">
        <v>70.35</v>
      </c>
      <c r="F11" s="3">
        <f t="shared" si="0"/>
        <v>2.3500000000000085</v>
      </c>
    </row>
    <row r="12" spans="1:6" ht="12.75">
      <c r="A12" s="12" t="s">
        <v>229</v>
      </c>
      <c r="B12" s="6"/>
      <c r="C12" s="12" t="s">
        <v>230</v>
      </c>
      <c r="D12" s="11">
        <v>466.55</v>
      </c>
      <c r="E12" s="11">
        <v>129.58</v>
      </c>
      <c r="F12" s="3">
        <f t="shared" si="0"/>
        <v>336.97</v>
      </c>
    </row>
    <row r="13" spans="1:6" ht="12.75">
      <c r="A13" s="12" t="s">
        <v>231</v>
      </c>
      <c r="B13" s="6"/>
      <c r="C13" s="12" t="s">
        <v>396</v>
      </c>
      <c r="D13" s="11">
        <v>827.33</v>
      </c>
      <c r="E13" s="11">
        <v>692.88</v>
      </c>
      <c r="F13" s="3">
        <f t="shared" si="0"/>
        <v>134.45000000000005</v>
      </c>
    </row>
    <row r="14" spans="1:6" ht="12.75">
      <c r="A14" s="12" t="s">
        <v>232</v>
      </c>
      <c r="B14" s="6"/>
      <c r="C14" s="12" t="s">
        <v>233</v>
      </c>
      <c r="D14" s="11">
        <v>856.5</v>
      </c>
      <c r="E14" s="11">
        <v>557.5</v>
      </c>
      <c r="F14" s="3">
        <f t="shared" si="0"/>
        <v>299</v>
      </c>
    </row>
    <row r="16" spans="3:6" ht="12.75">
      <c r="C16" s="76" t="s">
        <v>514</v>
      </c>
      <c r="D16" s="3">
        <f>+D2-D9</f>
        <v>3938.21</v>
      </c>
      <c r="E16" s="3">
        <f>+E2-E9</f>
        <v>7045.75</v>
      </c>
      <c r="F16" s="3">
        <f t="shared" si="0"/>
        <v>-3107.54</v>
      </c>
    </row>
    <row r="18" ht="12.75">
      <c r="B18" t="s">
        <v>513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B10">
      <selection activeCell="D30" sqref="D30"/>
    </sheetView>
  </sheetViews>
  <sheetFormatPr defaultColWidth="9.140625" defaultRowHeight="12.75"/>
  <cols>
    <col min="1" max="1" width="52.57421875" style="0" customWidth="1"/>
    <col min="2" max="2" width="27.7109375" style="0" customWidth="1"/>
    <col min="3" max="3" width="49.7109375" style="0" customWidth="1"/>
    <col min="4" max="4" width="20.00390625" style="0" customWidth="1"/>
  </cols>
  <sheetData>
    <row r="1" spans="1:4" ht="15.75">
      <c r="A1" s="88" t="s">
        <v>401</v>
      </c>
      <c r="B1" s="89"/>
      <c r="C1" s="89"/>
      <c r="D1" s="90"/>
    </row>
    <row r="2" spans="1:4" ht="16.5" thickBot="1">
      <c r="A2" s="91" t="s">
        <v>402</v>
      </c>
      <c r="B2" s="92"/>
      <c r="C2" s="92"/>
      <c r="D2" s="93"/>
    </row>
    <row r="3" spans="1:4" ht="15.75" thickBot="1">
      <c r="A3" s="94" t="s">
        <v>403</v>
      </c>
      <c r="B3" s="95"/>
      <c r="C3" s="94" t="s">
        <v>404</v>
      </c>
      <c r="D3" s="95"/>
    </row>
    <row r="4" spans="1:4" ht="12.75">
      <c r="A4" s="82" t="s">
        <v>405</v>
      </c>
      <c r="B4" s="84">
        <f>+balancete!AB6</f>
        <v>41389.939999999995</v>
      </c>
      <c r="C4" s="43" t="s">
        <v>406</v>
      </c>
      <c r="D4" s="86">
        <f>+balancete!AB82</f>
        <v>5344.029999999999</v>
      </c>
    </row>
    <row r="5" spans="1:4" ht="13.5" thickBot="1">
      <c r="A5" s="83"/>
      <c r="B5" s="85"/>
      <c r="C5" s="46" t="s">
        <v>407</v>
      </c>
      <c r="D5" s="87"/>
    </row>
    <row r="6" spans="1:4" ht="12.75">
      <c r="A6" s="48" t="s">
        <v>408</v>
      </c>
      <c r="B6" s="84">
        <f>+balancete!AB12</f>
        <v>17979.25</v>
      </c>
      <c r="C6" s="43" t="s">
        <v>409</v>
      </c>
      <c r="D6" s="86">
        <f>+balancete!AB93</f>
        <v>4061.5</v>
      </c>
    </row>
    <row r="7" spans="1:4" ht="13.5" thickBot="1">
      <c r="A7" s="45" t="s">
        <v>410</v>
      </c>
      <c r="B7" s="85"/>
      <c r="C7" s="46" t="s">
        <v>411</v>
      </c>
      <c r="D7" s="87"/>
    </row>
    <row r="8" spans="1:4" ht="12.75">
      <c r="A8" s="82" t="s">
        <v>412</v>
      </c>
      <c r="B8" s="84">
        <f>+balancete!AB18</f>
        <v>12870.2</v>
      </c>
      <c r="C8" s="43" t="s">
        <v>413</v>
      </c>
      <c r="D8" s="86">
        <f>+balancete!AB99</f>
        <v>28945.399999999998</v>
      </c>
    </row>
    <row r="9" spans="1:4" ht="13.5" thickBot="1">
      <c r="A9" s="83"/>
      <c r="B9" s="85"/>
      <c r="C9" s="46" t="s">
        <v>414</v>
      </c>
      <c r="D9" s="87"/>
    </row>
    <row r="10" spans="1:4" ht="12.75">
      <c r="A10" s="48" t="s">
        <v>415</v>
      </c>
      <c r="B10" s="84">
        <f>+balancete!AB23</f>
        <v>10578.61</v>
      </c>
      <c r="C10" s="43" t="s">
        <v>416</v>
      </c>
      <c r="D10" s="86">
        <f>+balancete!AB105</f>
        <v>71149.42000000001</v>
      </c>
    </row>
    <row r="11" spans="1:4" ht="13.5" thickBot="1">
      <c r="A11" s="45" t="s">
        <v>417</v>
      </c>
      <c r="B11" s="85"/>
      <c r="C11" s="46" t="s">
        <v>418</v>
      </c>
      <c r="D11" s="87"/>
    </row>
    <row r="12" spans="1:4" ht="12.75">
      <c r="A12" s="48" t="s">
        <v>419</v>
      </c>
      <c r="B12" s="84">
        <f>+balancete!AB30</f>
        <v>24763.1</v>
      </c>
      <c r="C12" s="43" t="s">
        <v>420</v>
      </c>
      <c r="D12" s="96">
        <f>+balancete!AB125</f>
        <v>6159.2</v>
      </c>
    </row>
    <row r="13" spans="1:4" ht="13.5" thickBot="1">
      <c r="A13" s="45" t="s">
        <v>421</v>
      </c>
      <c r="B13" s="85"/>
      <c r="C13" s="46" t="s">
        <v>422</v>
      </c>
      <c r="D13" s="97"/>
    </row>
    <row r="14" spans="1:4" ht="12.75">
      <c r="A14" s="82" t="s">
        <v>423</v>
      </c>
      <c r="B14" s="84">
        <f>+balancete!AB34</f>
        <v>2137.48</v>
      </c>
      <c r="C14" s="42" t="s">
        <v>424</v>
      </c>
      <c r="D14" s="49"/>
    </row>
    <row r="15" spans="1:4" ht="24.75" thickBot="1">
      <c r="A15" s="83"/>
      <c r="B15" s="85"/>
      <c r="C15" s="45" t="s">
        <v>425</v>
      </c>
      <c r="D15" s="57">
        <f>+balancete!AB132+3000</f>
        <v>5434.5</v>
      </c>
    </row>
    <row r="16" spans="1:4" ht="12.75">
      <c r="A16" s="48" t="s">
        <v>420</v>
      </c>
      <c r="B16" s="84">
        <f>+balancete!AB49</f>
        <v>12072</v>
      </c>
      <c r="C16" s="43" t="s">
        <v>426</v>
      </c>
      <c r="D16" s="44">
        <f>+balancete!AB155</f>
        <v>14422</v>
      </c>
    </row>
    <row r="17" spans="1:4" ht="13.5" thickBot="1">
      <c r="A17" s="45" t="s">
        <v>427</v>
      </c>
      <c r="B17" s="85"/>
      <c r="C17" s="46" t="s">
        <v>428</v>
      </c>
      <c r="D17" s="47"/>
    </row>
    <row r="18" spans="1:4" ht="12.75">
      <c r="A18" s="48" t="s">
        <v>429</v>
      </c>
      <c r="B18" s="84">
        <f>+balancete!AB54</f>
        <v>2668.48</v>
      </c>
      <c r="C18" s="43" t="s">
        <v>430</v>
      </c>
      <c r="D18" s="44">
        <f>+balancete!AB160</f>
        <v>25985.410000000003</v>
      </c>
    </row>
    <row r="19" spans="1:4" ht="24.75" thickBot="1">
      <c r="A19" s="45"/>
      <c r="B19" s="85"/>
      <c r="C19" s="46" t="s">
        <v>431</v>
      </c>
      <c r="D19" s="47"/>
    </row>
    <row r="20" spans="1:4" ht="12.75">
      <c r="A20" s="48" t="s">
        <v>432</v>
      </c>
      <c r="B20" s="84">
        <f>+balancete!AB60</f>
        <v>21627.29</v>
      </c>
      <c r="C20" s="43" t="s">
        <v>433</v>
      </c>
      <c r="D20" s="44">
        <f>+balancete!AB173</f>
        <v>9548.33</v>
      </c>
    </row>
    <row r="21" spans="1:4" ht="13.5" thickBot="1">
      <c r="A21" s="45" t="s">
        <v>434</v>
      </c>
      <c r="B21" s="85"/>
      <c r="C21" s="46" t="s">
        <v>435</v>
      </c>
      <c r="D21" s="47"/>
    </row>
    <row r="22" spans="1:4" ht="12.75">
      <c r="A22" s="48" t="s">
        <v>436</v>
      </c>
      <c r="B22" s="84">
        <f>+balancete!AB66</f>
        <v>38982.08</v>
      </c>
      <c r="C22" s="43" t="s">
        <v>437</v>
      </c>
      <c r="D22" s="44">
        <f>+balancete!AB192</f>
        <v>1020.51</v>
      </c>
    </row>
    <row r="23" spans="1:4" ht="13.5" thickBot="1">
      <c r="A23" s="45" t="s">
        <v>438</v>
      </c>
      <c r="B23" s="85"/>
      <c r="C23" s="46" t="s">
        <v>439</v>
      </c>
      <c r="D23" s="47"/>
    </row>
    <row r="24" spans="1:4" ht="12.75">
      <c r="A24" s="82" t="s">
        <v>440</v>
      </c>
      <c r="B24" s="84">
        <f>+balancete!AB77</f>
        <v>22.51</v>
      </c>
      <c r="C24" s="43" t="s">
        <v>441</v>
      </c>
      <c r="D24" s="55">
        <f>+balancete!AB198+balancete!AB199+balancete!AB200+balancete!AB201+balancete!AB206+balancete!AB180+balancete!AB189-0.01</f>
        <v>2012.26</v>
      </c>
    </row>
    <row r="25" spans="1:4" ht="13.5" thickBot="1">
      <c r="A25" s="83"/>
      <c r="B25" s="85"/>
      <c r="C25" s="46"/>
      <c r="D25" s="47"/>
    </row>
    <row r="26" spans="1:4" ht="13.5" thickBot="1">
      <c r="A26" s="102" t="s">
        <v>442</v>
      </c>
      <c r="B26" s="84">
        <f>SUM(B4:B25)</f>
        <v>185090.94</v>
      </c>
      <c r="C26" s="46" t="s">
        <v>443</v>
      </c>
      <c r="D26" s="50"/>
    </row>
    <row r="27" spans="1:4" ht="13.5" thickBot="1">
      <c r="A27" s="103"/>
      <c r="B27" s="85"/>
      <c r="C27" s="46" t="s">
        <v>444</v>
      </c>
      <c r="D27" s="50">
        <f>+balancete!AB205</f>
        <v>1848.15</v>
      </c>
    </row>
    <row r="28" spans="1:4" ht="13.5" thickBot="1">
      <c r="A28" s="51" t="s">
        <v>445</v>
      </c>
      <c r="B28" s="56">
        <f>+balancete!AB80+5000</f>
        <v>40930.04</v>
      </c>
      <c r="C28" s="52" t="s">
        <v>446</v>
      </c>
      <c r="D28" s="53">
        <f>SUM(D4:D27)</f>
        <v>175930.71</v>
      </c>
    </row>
    <row r="29" spans="1:4" ht="13.5" thickBot="1">
      <c r="A29" s="98"/>
      <c r="B29" s="100"/>
      <c r="C29" s="54" t="s">
        <v>447</v>
      </c>
      <c r="D29" s="50">
        <f>+B26-D28</f>
        <v>9160.23000000001</v>
      </c>
    </row>
    <row r="30" spans="1:4" ht="13.5" thickBot="1">
      <c r="A30" s="99"/>
      <c r="B30" s="101"/>
      <c r="C30" s="54" t="s">
        <v>448</v>
      </c>
      <c r="D30" s="50">
        <f>+B28+B29+B26-D28</f>
        <v>50090.27000000002</v>
      </c>
    </row>
  </sheetData>
  <sheetProtection/>
  <mergeCells count="28">
    <mergeCell ref="B16:B17"/>
    <mergeCell ref="B18:B19"/>
    <mergeCell ref="A29:A30"/>
    <mergeCell ref="B29:B30"/>
    <mergeCell ref="B20:B21"/>
    <mergeCell ref="B22:B23"/>
    <mergeCell ref="A24:A25"/>
    <mergeCell ref="B24:B25"/>
    <mergeCell ref="A26:A27"/>
    <mergeCell ref="B26:B27"/>
    <mergeCell ref="B12:B13"/>
    <mergeCell ref="D12:D13"/>
    <mergeCell ref="A14:A15"/>
    <mergeCell ref="B14:B15"/>
    <mergeCell ref="A8:A9"/>
    <mergeCell ref="B8:B9"/>
    <mergeCell ref="D8:D9"/>
    <mergeCell ref="B10:B11"/>
    <mergeCell ref="D10:D11"/>
    <mergeCell ref="A4:A5"/>
    <mergeCell ref="B4:B5"/>
    <mergeCell ref="D4:D5"/>
    <mergeCell ref="B6:B7"/>
    <mergeCell ref="D6:D7"/>
    <mergeCell ref="A1:D1"/>
    <mergeCell ref="A2:D2"/>
    <mergeCell ref="A3:B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52.57421875" style="0" customWidth="1"/>
    <col min="2" max="2" width="27.7109375" style="0" customWidth="1"/>
    <col min="3" max="3" width="49.7109375" style="0" customWidth="1"/>
    <col min="4" max="4" width="20.00390625" style="0" customWidth="1"/>
  </cols>
  <sheetData>
    <row r="1" spans="1:4" ht="15.75">
      <c r="A1" s="88" t="s">
        <v>401</v>
      </c>
      <c r="B1" s="89"/>
      <c r="C1" s="89"/>
      <c r="D1" s="90"/>
    </row>
    <row r="2" spans="1:4" ht="16.5" thickBot="1">
      <c r="A2" s="91" t="s">
        <v>449</v>
      </c>
      <c r="B2" s="92"/>
      <c r="C2" s="92"/>
      <c r="D2" s="93"/>
    </row>
    <row r="3" spans="1:4" ht="15.75" thickBot="1">
      <c r="A3" s="94" t="s">
        <v>403</v>
      </c>
      <c r="B3" s="95"/>
      <c r="C3" s="94" t="s">
        <v>404</v>
      </c>
      <c r="D3" s="95"/>
    </row>
    <row r="4" spans="1:4" ht="12.75">
      <c r="A4" s="82" t="s">
        <v>461</v>
      </c>
      <c r="B4" s="84">
        <f>+balancete!X6</f>
        <v>40338.77</v>
      </c>
      <c r="C4" s="43" t="s">
        <v>406</v>
      </c>
      <c r="D4" s="86">
        <f>+balancete!X82</f>
        <v>3726.99</v>
      </c>
    </row>
    <row r="5" spans="1:4" ht="24.75" thickBot="1">
      <c r="A5" s="83"/>
      <c r="B5" s="85"/>
      <c r="C5" s="46" t="s">
        <v>466</v>
      </c>
      <c r="D5" s="87"/>
    </row>
    <row r="6" spans="1:4" ht="12.75">
      <c r="A6" s="48" t="s">
        <v>465</v>
      </c>
      <c r="B6" s="84">
        <f>+balancete!X12</f>
        <v>16037.5</v>
      </c>
      <c r="C6" s="43" t="s">
        <v>409</v>
      </c>
      <c r="D6" s="86">
        <f>+balancete!X93</f>
        <v>2389.0299999999997</v>
      </c>
    </row>
    <row r="7" spans="1:4" ht="13.5" thickBot="1">
      <c r="A7" s="45"/>
      <c r="B7" s="85"/>
      <c r="C7" s="46" t="s">
        <v>411</v>
      </c>
      <c r="D7" s="87"/>
    </row>
    <row r="8" spans="1:4" ht="12.75">
      <c r="A8" s="82" t="s">
        <v>474</v>
      </c>
      <c r="B8" s="84">
        <f>+balancete!X18</f>
        <v>16404.13</v>
      </c>
      <c r="C8" s="43" t="s">
        <v>413</v>
      </c>
      <c r="D8" s="86">
        <f>+balancete!X99</f>
        <v>7614.83</v>
      </c>
    </row>
    <row r="9" spans="1:4" ht="13.5" thickBot="1">
      <c r="A9" s="83"/>
      <c r="B9" s="85"/>
      <c r="C9" s="46" t="s">
        <v>414</v>
      </c>
      <c r="D9" s="87"/>
    </row>
    <row r="10" spans="1:4" ht="12.75">
      <c r="A10" s="48" t="s">
        <v>462</v>
      </c>
      <c r="B10" s="84">
        <f>+balancete!X23</f>
        <v>10912.21</v>
      </c>
      <c r="C10" s="43" t="s">
        <v>416</v>
      </c>
      <c r="D10" s="86">
        <f>+balancete!X105</f>
        <v>69155.42</v>
      </c>
    </row>
    <row r="11" spans="1:4" ht="13.5" thickBot="1">
      <c r="A11" s="45" t="s">
        <v>417</v>
      </c>
      <c r="B11" s="85"/>
      <c r="C11" s="46" t="s">
        <v>418</v>
      </c>
      <c r="D11" s="87"/>
    </row>
    <row r="12" spans="1:4" ht="12.75">
      <c r="A12" s="48" t="s">
        <v>419</v>
      </c>
      <c r="B12" s="84">
        <f>+balancete!X30</f>
        <v>21173</v>
      </c>
      <c r="C12" s="43" t="s">
        <v>420</v>
      </c>
      <c r="D12" s="104">
        <f>+balancete!X125</f>
        <v>3357.19</v>
      </c>
    </row>
    <row r="13" spans="1:4" ht="24.75" thickBot="1">
      <c r="A13" s="45" t="s">
        <v>421</v>
      </c>
      <c r="B13" s="85"/>
      <c r="C13" s="46" t="s">
        <v>467</v>
      </c>
      <c r="D13" s="105"/>
    </row>
    <row r="14" spans="1:4" ht="12.75">
      <c r="A14" s="82" t="s">
        <v>468</v>
      </c>
      <c r="B14" s="84">
        <f>+balancete!X34</f>
        <v>2500</v>
      </c>
      <c r="C14" s="42" t="s">
        <v>424</v>
      </c>
      <c r="D14" s="60"/>
    </row>
    <row r="15" spans="1:4" ht="24.75" thickBot="1">
      <c r="A15" s="83"/>
      <c r="B15" s="85"/>
      <c r="C15" s="45" t="s">
        <v>425</v>
      </c>
      <c r="D15" s="61">
        <f>+balancete!X132</f>
        <v>5585</v>
      </c>
    </row>
    <row r="16" spans="1:4" ht="12.75">
      <c r="A16" s="48" t="s">
        <v>420</v>
      </c>
      <c r="B16" s="84">
        <f>+balancete!X49</f>
        <v>10402.94</v>
      </c>
      <c r="C16" s="43" t="s">
        <v>426</v>
      </c>
      <c r="D16" s="58">
        <f>+balancete!X155</f>
        <v>37428.05</v>
      </c>
    </row>
    <row r="17" spans="1:4" ht="24.75" thickBot="1">
      <c r="A17" s="45" t="s">
        <v>460</v>
      </c>
      <c r="B17" s="85"/>
      <c r="C17" s="46" t="s">
        <v>469</v>
      </c>
      <c r="D17" s="59"/>
    </row>
    <row r="18" spans="1:4" ht="12.75">
      <c r="A18" s="48" t="s">
        <v>463</v>
      </c>
      <c r="B18" s="84">
        <f>+balancete!X54</f>
        <v>7364.35</v>
      </c>
      <c r="C18" s="43" t="s">
        <v>430</v>
      </c>
      <c r="D18" s="58">
        <f>+balancete!X160</f>
        <v>30388.469999999998</v>
      </c>
    </row>
    <row r="19" spans="1:4" ht="24.75" thickBot="1">
      <c r="A19" s="45"/>
      <c r="B19" s="85"/>
      <c r="C19" s="46" t="s">
        <v>470</v>
      </c>
      <c r="D19" s="59"/>
    </row>
    <row r="20" spans="1:4" ht="12.75">
      <c r="A20" s="48" t="s">
        <v>432</v>
      </c>
      <c r="B20" s="84">
        <f>+balancete!X60</f>
        <v>10156.34</v>
      </c>
      <c r="C20" s="43" t="s">
        <v>433</v>
      </c>
      <c r="D20" s="58">
        <f>+balancete!X173</f>
        <v>45959.259999999995</v>
      </c>
    </row>
    <row r="21" spans="1:4" ht="36.75" thickBot="1">
      <c r="A21" s="45" t="s">
        <v>434</v>
      </c>
      <c r="B21" s="85"/>
      <c r="C21" s="46" t="s">
        <v>471</v>
      </c>
      <c r="D21" s="59"/>
    </row>
    <row r="22" spans="1:4" ht="12.75">
      <c r="A22" s="48" t="s">
        <v>436</v>
      </c>
      <c r="B22" s="84">
        <f>+balancete!X66</f>
        <v>30669.799999999996</v>
      </c>
      <c r="C22" s="43" t="s">
        <v>437</v>
      </c>
      <c r="D22" s="58">
        <f>+balancete!X192</f>
        <v>1064.85</v>
      </c>
    </row>
    <row r="23" spans="1:4" ht="24.75" thickBot="1">
      <c r="A23" s="45" t="s">
        <v>477</v>
      </c>
      <c r="B23" s="85"/>
      <c r="C23" s="46" t="s">
        <v>472</v>
      </c>
      <c r="D23" s="59"/>
    </row>
    <row r="24" spans="1:4" ht="24">
      <c r="A24" s="82" t="s">
        <v>440</v>
      </c>
      <c r="B24" s="84">
        <f>+balancete!X77</f>
        <v>172.97</v>
      </c>
      <c r="C24" s="43" t="s">
        <v>473</v>
      </c>
      <c r="D24" s="58">
        <f>+balancete!X198+balancete!X199+balancete!X200+balancete!X201+balancete!X206+balancete!X180+balancete!X189</f>
        <v>3299.98</v>
      </c>
    </row>
    <row r="25" spans="1:4" ht="13.5" thickBot="1">
      <c r="A25" s="83"/>
      <c r="B25" s="85"/>
      <c r="C25" s="46"/>
      <c r="D25" s="59"/>
    </row>
    <row r="26" spans="1:4" ht="12.75">
      <c r="A26" s="102" t="s">
        <v>450</v>
      </c>
      <c r="B26" s="84">
        <f>SUM(B4:B25)</f>
        <v>166132.00999999998</v>
      </c>
      <c r="C26" s="43"/>
      <c r="D26" s="58"/>
    </row>
    <row r="27" spans="1:4" ht="13.5" thickBot="1">
      <c r="A27" s="103"/>
      <c r="B27" s="85"/>
      <c r="C27" s="46" t="s">
        <v>444</v>
      </c>
      <c r="D27" s="59">
        <f>+balancete!X205</f>
        <v>4747.27</v>
      </c>
    </row>
    <row r="28" spans="1:4" ht="24.75" thickBot="1">
      <c r="A28" s="51" t="s">
        <v>454</v>
      </c>
      <c r="B28" s="62">
        <f>+balancete!X80+balancete!X79</f>
        <v>77806.01999999999</v>
      </c>
      <c r="C28" s="52" t="s">
        <v>451</v>
      </c>
      <c r="D28" s="53">
        <f>SUM(D4:D27)</f>
        <v>214716.34</v>
      </c>
    </row>
    <row r="29" spans="1:4" ht="13.5" thickBot="1">
      <c r="A29" s="98"/>
      <c r="B29" s="100"/>
      <c r="C29" s="54" t="s">
        <v>452</v>
      </c>
      <c r="D29" s="50">
        <f>+B26-D28</f>
        <v>-48584.330000000016</v>
      </c>
    </row>
    <row r="30" spans="1:4" ht="13.5" thickBot="1">
      <c r="A30" s="99"/>
      <c r="B30" s="101"/>
      <c r="C30" s="54" t="s">
        <v>453</v>
      </c>
      <c r="D30" s="50">
        <f>+B28+B29+B26-D28</f>
        <v>29221.689999999973</v>
      </c>
    </row>
    <row r="32" spans="1:2" ht="12.75">
      <c r="A32" t="s">
        <v>458</v>
      </c>
      <c r="B32" s="3">
        <f>+B26-balancete!X5-B33</f>
        <v>-24715.75</v>
      </c>
    </row>
    <row r="33" spans="1:5" ht="12.75">
      <c r="A33" t="s">
        <v>459</v>
      </c>
      <c r="B33" s="3">
        <v>-5000</v>
      </c>
      <c r="C33" s="75" t="s">
        <v>475</v>
      </c>
      <c r="D33" s="74">
        <f>+balancete!X156+balancete!X174+balancete!X175</f>
        <v>60789.96</v>
      </c>
      <c r="E33" t="s">
        <v>476</v>
      </c>
    </row>
    <row r="34" spans="1:2" ht="12.75">
      <c r="A34" s="64" t="s">
        <v>455</v>
      </c>
      <c r="B34" s="65">
        <f>+'2012'!D30</f>
        <v>50090.27000000002</v>
      </c>
    </row>
    <row r="35" spans="1:4" ht="12.75">
      <c r="A35" s="66" t="s">
        <v>456</v>
      </c>
      <c r="B35" s="69">
        <f>+balancete!X80</f>
        <v>48090.27</v>
      </c>
      <c r="D35" s="74">
        <f>+D29+D33</f>
        <v>12205.629999999983</v>
      </c>
    </row>
    <row r="36" spans="1:2" ht="12.75">
      <c r="A36" s="67" t="s">
        <v>457</v>
      </c>
      <c r="B36" s="68">
        <f>+B34-B35</f>
        <v>2000.0000000000218</v>
      </c>
    </row>
    <row r="38" ht="12.75">
      <c r="B38" s="70">
        <f>-B32</f>
        <v>24715.75</v>
      </c>
    </row>
    <row r="39" ht="12.75">
      <c r="B39" s="71">
        <f>+B35</f>
        <v>48090.27</v>
      </c>
    </row>
    <row r="40" ht="12.75">
      <c r="B40" s="72">
        <f>+B39+B38</f>
        <v>72806.01999999999</v>
      </c>
    </row>
    <row r="43" ht="12.75">
      <c r="B43" s="73">
        <f>+B28-'2012'!D30</f>
        <v>27715.74999999997</v>
      </c>
    </row>
    <row r="44" ht="12.75">
      <c r="B44" s="3">
        <f>+B43+B32</f>
        <v>2999.999999999971</v>
      </c>
    </row>
  </sheetData>
  <sheetProtection/>
  <mergeCells count="28">
    <mergeCell ref="B16:B17"/>
    <mergeCell ref="B18:B19"/>
    <mergeCell ref="A29:A30"/>
    <mergeCell ref="B29:B30"/>
    <mergeCell ref="B20:B21"/>
    <mergeCell ref="B22:B23"/>
    <mergeCell ref="A24:A25"/>
    <mergeCell ref="B24:B25"/>
    <mergeCell ref="A26:A27"/>
    <mergeCell ref="B26:B27"/>
    <mergeCell ref="B12:B13"/>
    <mergeCell ref="D12:D13"/>
    <mergeCell ref="A14:A15"/>
    <mergeCell ref="B14:B15"/>
    <mergeCell ref="A8:A9"/>
    <mergeCell ref="B8:B9"/>
    <mergeCell ref="D8:D9"/>
    <mergeCell ref="B10:B11"/>
    <mergeCell ref="D10:D11"/>
    <mergeCell ref="A4:A5"/>
    <mergeCell ref="B4:B5"/>
    <mergeCell ref="D4:D5"/>
    <mergeCell ref="B6:B7"/>
    <mergeCell ref="D6:D7"/>
    <mergeCell ref="A1:D1"/>
    <mergeCell ref="A2:D2"/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52.57421875" style="0" customWidth="1"/>
    <col min="2" max="2" width="27.7109375" style="0" customWidth="1"/>
    <col min="3" max="3" width="49.7109375" style="0" customWidth="1"/>
    <col min="4" max="4" width="20.00390625" style="0" customWidth="1"/>
  </cols>
  <sheetData>
    <row r="1" spans="1:4" ht="15.75">
      <c r="A1" s="88" t="s">
        <v>401</v>
      </c>
      <c r="B1" s="89"/>
      <c r="C1" s="89"/>
      <c r="D1" s="90"/>
    </row>
    <row r="2" spans="1:4" ht="16.5" thickBot="1">
      <c r="A2" s="91" t="s">
        <v>481</v>
      </c>
      <c r="B2" s="92"/>
      <c r="C2" s="92"/>
      <c r="D2" s="93"/>
    </row>
    <row r="3" spans="1:4" ht="15.75" thickBot="1">
      <c r="A3" s="94" t="s">
        <v>403</v>
      </c>
      <c r="B3" s="95"/>
      <c r="C3" s="94" t="s">
        <v>404</v>
      </c>
      <c r="D3" s="95"/>
    </row>
    <row r="4" spans="1:4" ht="12.75">
      <c r="A4" s="82" t="s">
        <v>461</v>
      </c>
      <c r="B4" s="84">
        <f>+balancete!T6</f>
        <v>36025.6</v>
      </c>
      <c r="C4" s="43" t="s">
        <v>406</v>
      </c>
      <c r="D4" s="86">
        <f>+balancete!T82</f>
        <v>3836.2</v>
      </c>
    </row>
    <row r="5" spans="1:4" ht="24.75" thickBot="1">
      <c r="A5" s="83"/>
      <c r="B5" s="85"/>
      <c r="C5" s="46" t="s">
        <v>466</v>
      </c>
      <c r="D5" s="87"/>
    </row>
    <row r="6" spans="1:4" ht="12.75">
      <c r="A6" s="48" t="s">
        <v>465</v>
      </c>
      <c r="B6" s="84">
        <f>+balancete!T12</f>
        <v>12015</v>
      </c>
      <c r="C6" s="43" t="s">
        <v>409</v>
      </c>
      <c r="D6" s="86">
        <f>+balancete!T93</f>
        <v>1830.74</v>
      </c>
    </row>
    <row r="7" spans="1:4" ht="13.5" thickBot="1">
      <c r="A7" s="45"/>
      <c r="B7" s="85"/>
      <c r="C7" s="46" t="s">
        <v>411</v>
      </c>
      <c r="D7" s="87"/>
    </row>
    <row r="8" spans="1:4" ht="12.75">
      <c r="A8" s="82" t="s">
        <v>488</v>
      </c>
      <c r="B8" s="84">
        <f>+balancete!T18</f>
        <v>26587.23</v>
      </c>
      <c r="C8" s="43" t="s">
        <v>413</v>
      </c>
      <c r="D8" s="86">
        <f>+balancete!T99</f>
        <v>10454.67</v>
      </c>
    </row>
    <row r="9" spans="1:4" ht="13.5" thickBot="1">
      <c r="A9" s="83"/>
      <c r="B9" s="85"/>
      <c r="C9" s="46" t="s">
        <v>414</v>
      </c>
      <c r="D9" s="87"/>
    </row>
    <row r="10" spans="1:4" ht="12.75">
      <c r="A10" s="48" t="s">
        <v>462</v>
      </c>
      <c r="B10" s="84">
        <f>+balancete!T23</f>
        <v>7992.65</v>
      </c>
      <c r="C10" s="43" t="s">
        <v>416</v>
      </c>
      <c r="D10" s="86">
        <f>+balancete!T105</f>
        <v>70799.88</v>
      </c>
    </row>
    <row r="11" spans="1:4" ht="13.5" thickBot="1">
      <c r="A11" s="45" t="s">
        <v>417</v>
      </c>
      <c r="B11" s="85"/>
      <c r="C11" s="46" t="s">
        <v>418</v>
      </c>
      <c r="D11" s="87"/>
    </row>
    <row r="12" spans="1:4" ht="12.75">
      <c r="A12" s="48" t="s">
        <v>419</v>
      </c>
      <c r="B12" s="84">
        <f>+balancete!T30</f>
        <v>24734.46</v>
      </c>
      <c r="C12" s="43" t="s">
        <v>420</v>
      </c>
      <c r="D12" s="104">
        <f>+balancete!T125</f>
        <v>4567.79</v>
      </c>
    </row>
    <row r="13" spans="1:4" ht="24.75" thickBot="1">
      <c r="A13" s="45" t="s">
        <v>421</v>
      </c>
      <c r="B13" s="85"/>
      <c r="C13" s="46" t="s">
        <v>467</v>
      </c>
      <c r="D13" s="105"/>
    </row>
    <row r="14" spans="1:4" ht="12.75">
      <c r="A14" s="82" t="s">
        <v>486</v>
      </c>
      <c r="B14" s="84">
        <f>+balancete!T34</f>
        <v>1175</v>
      </c>
      <c r="C14" s="42" t="s">
        <v>424</v>
      </c>
      <c r="D14" s="60"/>
    </row>
    <row r="15" spans="1:4" ht="24.75" thickBot="1">
      <c r="A15" s="83"/>
      <c r="B15" s="85"/>
      <c r="C15" s="45" t="s">
        <v>425</v>
      </c>
      <c r="D15" s="61">
        <f>+balancete!T132</f>
        <v>4756</v>
      </c>
    </row>
    <row r="16" spans="1:4" ht="12.75">
      <c r="A16" s="48" t="s">
        <v>420</v>
      </c>
      <c r="B16" s="84">
        <f>+balancete!T49</f>
        <v>8506</v>
      </c>
      <c r="C16" s="43" t="s">
        <v>426</v>
      </c>
      <c r="D16" s="58">
        <f>+balancete!T155</f>
        <v>22847.590000000004</v>
      </c>
    </row>
    <row r="17" spans="1:4" ht="24.75" thickBot="1">
      <c r="A17" s="45" t="s">
        <v>460</v>
      </c>
      <c r="B17" s="85"/>
      <c r="C17" s="46" t="s">
        <v>494</v>
      </c>
      <c r="D17" s="59"/>
    </row>
    <row r="18" spans="1:4" ht="12.75">
      <c r="A18" s="48" t="s">
        <v>485</v>
      </c>
      <c r="B18" s="84">
        <f>+balancete!T54</f>
        <v>8796.02</v>
      </c>
      <c r="C18" s="43" t="s">
        <v>430</v>
      </c>
      <c r="D18" s="58">
        <f>+balancete!T160</f>
        <v>26994.1</v>
      </c>
    </row>
    <row r="19" spans="1:4" ht="24.75" thickBot="1">
      <c r="A19" s="45"/>
      <c r="B19" s="85"/>
      <c r="C19" s="46" t="s">
        <v>470</v>
      </c>
      <c r="D19" s="59"/>
    </row>
    <row r="20" spans="1:4" ht="12.75">
      <c r="A20" s="48" t="s">
        <v>432</v>
      </c>
      <c r="B20" s="84">
        <f>+balancete!T60</f>
        <v>10628.29</v>
      </c>
      <c r="C20" s="43" t="s">
        <v>433</v>
      </c>
      <c r="D20" s="58">
        <f>+balancete!T173</f>
        <v>21071.129999999997</v>
      </c>
    </row>
    <row r="21" spans="1:4" ht="24.75" thickBot="1">
      <c r="A21" s="45" t="s">
        <v>434</v>
      </c>
      <c r="B21" s="85"/>
      <c r="C21" s="46" t="s">
        <v>498</v>
      </c>
      <c r="D21" s="59"/>
    </row>
    <row r="22" spans="1:4" ht="12.75">
      <c r="A22" s="48" t="s">
        <v>436</v>
      </c>
      <c r="B22" s="84">
        <f>+balancete!T66</f>
        <v>42868.89</v>
      </c>
      <c r="C22" s="43" t="s">
        <v>437</v>
      </c>
      <c r="D22" s="58">
        <f>+balancete!T192</f>
        <v>1560.15</v>
      </c>
    </row>
    <row r="23" spans="1:4" ht="24.75" thickBot="1">
      <c r="A23" s="45" t="s">
        <v>484</v>
      </c>
      <c r="B23" s="85"/>
      <c r="C23" s="46" t="s">
        <v>472</v>
      </c>
      <c r="D23" s="59"/>
    </row>
    <row r="24" spans="1:4" ht="24">
      <c r="A24" s="82" t="s">
        <v>440</v>
      </c>
      <c r="B24" s="84">
        <f>+balancete!T77</f>
        <v>6.08</v>
      </c>
      <c r="C24" s="43" t="s">
        <v>473</v>
      </c>
      <c r="D24" s="58">
        <f>+balancete!T198+balancete!T199+balancete!T200+balancete!T201+balancete!T206+balancete!T180+balancete!T189</f>
        <v>5015.2</v>
      </c>
    </row>
    <row r="25" spans="1:4" ht="13.5" thickBot="1">
      <c r="A25" s="83"/>
      <c r="B25" s="85"/>
      <c r="C25" s="46"/>
      <c r="D25" s="59"/>
    </row>
    <row r="26" spans="1:4" ht="12.75">
      <c r="A26" s="102" t="s">
        <v>482</v>
      </c>
      <c r="B26" s="84">
        <f>SUM(B4:B25)</f>
        <v>179335.22</v>
      </c>
      <c r="C26" s="43"/>
      <c r="D26" s="58"/>
    </row>
    <row r="27" spans="1:4" ht="13.5" thickBot="1">
      <c r="A27" s="103"/>
      <c r="B27" s="85"/>
      <c r="C27" s="46" t="s">
        <v>502</v>
      </c>
      <c r="D27" s="59">
        <f>+balancete!T205</f>
        <v>6446.92</v>
      </c>
    </row>
    <row r="28" spans="1:4" ht="13.5" thickBot="1">
      <c r="A28" s="51" t="s">
        <v>445</v>
      </c>
      <c r="B28" s="62">
        <f>+balancete!T80+balancete!T79</f>
        <v>29221.69</v>
      </c>
      <c r="C28" s="52" t="s">
        <v>483</v>
      </c>
      <c r="D28" s="53">
        <f>SUM(D4:D27)</f>
        <v>180180.37000000002</v>
      </c>
    </row>
    <row r="29" spans="1:4" ht="13.5" thickBot="1">
      <c r="A29" s="98"/>
      <c r="B29" s="100"/>
      <c r="C29" s="54" t="s">
        <v>487</v>
      </c>
      <c r="D29" s="50">
        <f>+B26-D28</f>
        <v>-845.1500000000233</v>
      </c>
    </row>
    <row r="30" spans="1:4" ht="13.5" thickBot="1">
      <c r="A30" s="99"/>
      <c r="B30" s="101"/>
      <c r="C30" s="54" t="s">
        <v>554</v>
      </c>
      <c r="D30" s="50">
        <f>+B28+B29+B26-D28</f>
        <v>28376.53999999998</v>
      </c>
    </row>
    <row r="31" ht="12.75">
      <c r="D31" s="73"/>
    </row>
    <row r="32" ht="12.75">
      <c r="A32" t="s">
        <v>491</v>
      </c>
    </row>
    <row r="33" ht="12.75">
      <c r="A33" t="s">
        <v>492</v>
      </c>
    </row>
    <row r="34" spans="1:4" ht="12.75">
      <c r="A34" t="s">
        <v>489</v>
      </c>
      <c r="C34" s="75"/>
      <c r="D34" s="74"/>
    </row>
    <row r="35" ht="12.75">
      <c r="A35" t="s">
        <v>490</v>
      </c>
    </row>
    <row r="36" ht="12.75">
      <c r="A36" t="s">
        <v>493</v>
      </c>
    </row>
    <row r="37" spans="1:4" ht="12.75">
      <c r="A37" t="s">
        <v>500</v>
      </c>
      <c r="D37" s="74"/>
    </row>
    <row r="38" ht="12.75">
      <c r="A38" t="s">
        <v>501</v>
      </c>
    </row>
    <row r="40" ht="12.75">
      <c r="A40" t="s">
        <v>495</v>
      </c>
    </row>
    <row r="41" ht="12.75">
      <c r="A41" t="s">
        <v>496</v>
      </c>
    </row>
    <row r="42" ht="12.75">
      <c r="A42" t="s">
        <v>499</v>
      </c>
    </row>
    <row r="43" ht="12.75">
      <c r="A43" t="s">
        <v>497</v>
      </c>
    </row>
  </sheetData>
  <sheetProtection/>
  <mergeCells count="28">
    <mergeCell ref="A1:D1"/>
    <mergeCell ref="A2:D2"/>
    <mergeCell ref="A3:B3"/>
    <mergeCell ref="C3:D3"/>
    <mergeCell ref="A4:A5"/>
    <mergeCell ref="B4:B5"/>
    <mergeCell ref="D4:D5"/>
    <mergeCell ref="B6:B7"/>
    <mergeCell ref="D6:D7"/>
    <mergeCell ref="A8:A9"/>
    <mergeCell ref="B8:B9"/>
    <mergeCell ref="D8:D9"/>
    <mergeCell ref="B10:B11"/>
    <mergeCell ref="D10:D11"/>
    <mergeCell ref="B12:B13"/>
    <mergeCell ref="D12:D13"/>
    <mergeCell ref="A14:A15"/>
    <mergeCell ref="B14:B15"/>
    <mergeCell ref="B16:B17"/>
    <mergeCell ref="B18:B19"/>
    <mergeCell ref="A29:A30"/>
    <mergeCell ref="B29:B30"/>
    <mergeCell ref="B20:B21"/>
    <mergeCell ref="B22:B23"/>
    <mergeCell ref="A24:A25"/>
    <mergeCell ref="B24:B25"/>
    <mergeCell ref="A26:A27"/>
    <mergeCell ref="B26:B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2.57421875" style="0" customWidth="1"/>
    <col min="2" max="2" width="27.7109375" style="0" customWidth="1"/>
    <col min="3" max="3" width="49.7109375" style="0" customWidth="1"/>
    <col min="4" max="4" width="20.00390625" style="0" customWidth="1"/>
    <col min="5" max="5" width="9.8515625" style="0" bestFit="1" customWidth="1"/>
  </cols>
  <sheetData>
    <row r="1" spans="1:4" ht="15.75">
      <c r="A1" s="88" t="s">
        <v>401</v>
      </c>
      <c r="B1" s="89"/>
      <c r="C1" s="89"/>
      <c r="D1" s="90"/>
    </row>
    <row r="2" spans="1:4" ht="16.5" thickBot="1">
      <c r="A2" s="91" t="s">
        <v>518</v>
      </c>
      <c r="B2" s="92"/>
      <c r="C2" s="92"/>
      <c r="D2" s="93"/>
    </row>
    <row r="3" spans="1:4" ht="15.75" thickBot="1">
      <c r="A3" s="94" t="s">
        <v>403</v>
      </c>
      <c r="B3" s="95"/>
      <c r="C3" s="94" t="s">
        <v>404</v>
      </c>
      <c r="D3" s="95"/>
    </row>
    <row r="4" spans="1:4" ht="12.75">
      <c r="A4" s="82" t="s">
        <v>461</v>
      </c>
      <c r="B4" s="84">
        <f>+balancete!P6</f>
        <v>33469.18</v>
      </c>
      <c r="C4" s="43" t="s">
        <v>406</v>
      </c>
      <c r="D4" s="86">
        <f>+balancete!P82</f>
        <v>3800.84</v>
      </c>
    </row>
    <row r="5" spans="1:4" ht="24.75" thickBot="1">
      <c r="A5" s="83"/>
      <c r="B5" s="85"/>
      <c r="C5" s="46" t="s">
        <v>539</v>
      </c>
      <c r="D5" s="87"/>
    </row>
    <row r="6" spans="1:4" ht="12.75">
      <c r="A6" s="48" t="s">
        <v>523</v>
      </c>
      <c r="B6" s="84">
        <f>+balancete!P12</f>
        <v>12545</v>
      </c>
      <c r="C6" s="43" t="s">
        <v>409</v>
      </c>
      <c r="D6" s="86">
        <f>+balancete!P93</f>
        <v>2075.1099999999997</v>
      </c>
    </row>
    <row r="7" spans="1:4" ht="13.5" thickBot="1">
      <c r="A7" s="45"/>
      <c r="B7" s="85"/>
      <c r="C7" s="46" t="s">
        <v>524</v>
      </c>
      <c r="D7" s="87"/>
    </row>
    <row r="8" spans="1:4" ht="12.75">
      <c r="A8" s="82" t="s">
        <v>535</v>
      </c>
      <c r="B8" s="84">
        <f>+balancete!P18</f>
        <v>21397.08</v>
      </c>
      <c r="C8" s="43" t="s">
        <v>413</v>
      </c>
      <c r="D8" s="86">
        <f>+balancete!P99</f>
        <v>12427.96</v>
      </c>
    </row>
    <row r="9" spans="1:4" ht="13.5" thickBot="1">
      <c r="A9" s="83"/>
      <c r="B9" s="85"/>
      <c r="C9" s="46" t="s">
        <v>414</v>
      </c>
      <c r="D9" s="87"/>
    </row>
    <row r="10" spans="1:5" ht="12.75">
      <c r="A10" s="48" t="s">
        <v>462</v>
      </c>
      <c r="B10" s="84">
        <f>+balancete!P23</f>
        <v>12946.399999999998</v>
      </c>
      <c r="C10" s="43" t="s">
        <v>416</v>
      </c>
      <c r="D10" s="86">
        <f>+balancete!P105</f>
        <v>72369.86</v>
      </c>
      <c r="E10" s="73"/>
    </row>
    <row r="11" spans="1:4" ht="13.5" thickBot="1">
      <c r="A11" s="45" t="s">
        <v>417</v>
      </c>
      <c r="B11" s="85"/>
      <c r="C11" s="46" t="s">
        <v>418</v>
      </c>
      <c r="D11" s="87"/>
    </row>
    <row r="12" spans="1:4" ht="12.75">
      <c r="A12" s="48" t="s">
        <v>419</v>
      </c>
      <c r="B12" s="84">
        <f>+balancete!P30</f>
        <v>21070</v>
      </c>
      <c r="C12" s="43" t="s">
        <v>420</v>
      </c>
      <c r="D12" s="104">
        <f>+balancete!P125</f>
        <v>3863.19</v>
      </c>
    </row>
    <row r="13" spans="1:4" ht="24.75" thickBot="1">
      <c r="A13" s="45" t="s">
        <v>421</v>
      </c>
      <c r="B13" s="85"/>
      <c r="C13" s="46" t="s">
        <v>467</v>
      </c>
      <c r="D13" s="105"/>
    </row>
    <row r="14" spans="1:4" ht="12.75">
      <c r="A14" s="82" t="s">
        <v>486</v>
      </c>
      <c r="B14" s="84">
        <f>+balancete!P34</f>
        <v>2500</v>
      </c>
      <c r="C14" s="42" t="s">
        <v>424</v>
      </c>
      <c r="D14" s="60"/>
    </row>
    <row r="15" spans="1:4" ht="24.75" thickBot="1">
      <c r="A15" s="83"/>
      <c r="B15" s="85"/>
      <c r="C15" s="45" t="s">
        <v>425</v>
      </c>
      <c r="D15" s="61">
        <f>+balancete!P132</f>
        <v>5092</v>
      </c>
    </row>
    <row r="16" spans="1:4" ht="12.75">
      <c r="A16" s="48" t="s">
        <v>420</v>
      </c>
      <c r="B16" s="84">
        <f>+balancete!P49</f>
        <v>10865.89</v>
      </c>
      <c r="C16" s="43" t="s">
        <v>426</v>
      </c>
      <c r="D16" s="58">
        <f>+balancete!P155</f>
        <v>22357.83</v>
      </c>
    </row>
    <row r="17" spans="1:4" ht="24.75" thickBot="1">
      <c r="A17" s="45" t="s">
        <v>460</v>
      </c>
      <c r="B17" s="85"/>
      <c r="C17" s="46" t="s">
        <v>540</v>
      </c>
      <c r="D17" s="59"/>
    </row>
    <row r="18" spans="1:4" ht="12.75">
      <c r="A18" s="48" t="s">
        <v>485</v>
      </c>
      <c r="B18" s="84">
        <f>+balancete!P54</f>
        <v>3885.5499999999997</v>
      </c>
      <c r="C18" s="43" t="s">
        <v>430</v>
      </c>
      <c r="D18" s="58">
        <f>+balancete!P160</f>
        <v>20988.620000000003</v>
      </c>
    </row>
    <row r="19" spans="1:4" ht="36.75" thickBot="1">
      <c r="A19" s="45"/>
      <c r="B19" s="85"/>
      <c r="C19" s="46" t="s">
        <v>543</v>
      </c>
      <c r="D19" s="59"/>
    </row>
    <row r="20" spans="1:4" ht="12.75">
      <c r="A20" s="48" t="s">
        <v>432</v>
      </c>
      <c r="B20" s="84">
        <f>+balancete!P60</f>
        <v>11965.61</v>
      </c>
      <c r="C20" s="43" t="s">
        <v>433</v>
      </c>
      <c r="D20" s="58">
        <f>+balancete!P173</f>
        <v>10459.3</v>
      </c>
    </row>
    <row r="21" spans="1:4" ht="24.75" thickBot="1">
      <c r="A21" s="45" t="s">
        <v>536</v>
      </c>
      <c r="B21" s="85"/>
      <c r="C21" s="46" t="s">
        <v>541</v>
      </c>
      <c r="D21" s="59"/>
    </row>
    <row r="22" spans="1:4" ht="12.75">
      <c r="A22" s="48" t="s">
        <v>436</v>
      </c>
      <c r="B22" s="84">
        <f>+balancete!P66++balancete!P77-B24</f>
        <v>23564.17</v>
      </c>
      <c r="C22" s="43" t="s">
        <v>437</v>
      </c>
      <c r="D22" s="58">
        <f>+balancete!P192</f>
        <v>2160.98</v>
      </c>
    </row>
    <row r="23" spans="1:4" ht="24.75" thickBot="1">
      <c r="A23" s="45" t="s">
        <v>542</v>
      </c>
      <c r="B23" s="85"/>
      <c r="C23" s="46" t="s">
        <v>472</v>
      </c>
      <c r="D23" s="59"/>
    </row>
    <row r="24" spans="1:4" ht="24">
      <c r="A24" s="82" t="s">
        <v>538</v>
      </c>
      <c r="B24" s="84">
        <f>+balancete!P73</f>
        <v>7928.26</v>
      </c>
      <c r="C24" s="43" t="s">
        <v>473</v>
      </c>
      <c r="D24" s="58">
        <f>+balancete!P198+balancete!P199+balancete!P200+balancete!P201+balancete!P206+balancete!P180+balancete!P189</f>
        <v>4699.45</v>
      </c>
    </row>
    <row r="25" spans="1:4" ht="13.5" thickBot="1">
      <c r="A25" s="83"/>
      <c r="B25" s="85"/>
      <c r="C25" s="46"/>
      <c r="D25" s="59"/>
    </row>
    <row r="26" spans="1:4" ht="12.75">
      <c r="A26" s="102" t="s">
        <v>519</v>
      </c>
      <c r="B26" s="84">
        <f>SUM(B4:B25)</f>
        <v>162137.14</v>
      </c>
      <c r="C26" s="43"/>
      <c r="D26" s="58"/>
    </row>
    <row r="27" spans="1:4" ht="13.5" thickBot="1">
      <c r="A27" s="103"/>
      <c r="B27" s="85"/>
      <c r="C27" s="46" t="s">
        <v>537</v>
      </c>
      <c r="D27" s="59">
        <f>+balancete!P205</f>
        <v>3241.45</v>
      </c>
    </row>
    <row r="28" spans="1:4" ht="13.5" thickBot="1">
      <c r="A28" s="51" t="s">
        <v>445</v>
      </c>
      <c r="B28" s="62">
        <f>+balancete!P80+balancete!P79</f>
        <v>29221.69</v>
      </c>
      <c r="C28" s="52" t="s">
        <v>520</v>
      </c>
      <c r="D28" s="53">
        <f>SUM(D4:D27)</f>
        <v>163536.59000000003</v>
      </c>
    </row>
    <row r="29" spans="1:5" ht="13.5" thickBot="1">
      <c r="A29" s="98"/>
      <c r="B29" s="100"/>
      <c r="C29" s="54" t="s">
        <v>521</v>
      </c>
      <c r="D29" s="50">
        <f>+B26-D28</f>
        <v>-1399.4500000000116</v>
      </c>
      <c r="E29">
        <v>-1228</v>
      </c>
    </row>
    <row r="30" spans="1:5" ht="13.5" thickBot="1">
      <c r="A30" s="99"/>
      <c r="B30" s="101"/>
      <c r="C30" s="54" t="s">
        <v>522</v>
      </c>
      <c r="D30" s="50">
        <f>+B28+B29+B26-D28</f>
        <v>27822.23999999999</v>
      </c>
      <c r="E30">
        <f>+D30+E29</f>
        <v>26594.23999999999</v>
      </c>
    </row>
    <row r="31" spans="4:5" ht="12.75">
      <c r="D31" s="77"/>
      <c r="E31" s="73"/>
    </row>
    <row r="32" ht="12.75">
      <c r="A32" t="s">
        <v>525</v>
      </c>
    </row>
    <row r="33" ht="12.75">
      <c r="A33" t="s">
        <v>529</v>
      </c>
    </row>
    <row r="34" spans="1:5" ht="12.75">
      <c r="A34" t="s">
        <v>530</v>
      </c>
      <c r="C34" s="75"/>
      <c r="D34" s="74"/>
      <c r="E34" s="74"/>
    </row>
    <row r="35" ht="12.75">
      <c r="A35" t="s">
        <v>527</v>
      </c>
    </row>
    <row r="36" ht="12.75">
      <c r="A36" t="s">
        <v>528</v>
      </c>
    </row>
    <row r="37" spans="1:4" ht="12.75">
      <c r="A37" t="s">
        <v>531</v>
      </c>
      <c r="D37" s="74"/>
    </row>
    <row r="38" ht="12.75">
      <c r="A38" t="s">
        <v>532</v>
      </c>
    </row>
    <row r="40" ht="12.75">
      <c r="A40" t="s">
        <v>526</v>
      </c>
    </row>
    <row r="41" ht="12.75">
      <c r="A41" t="s">
        <v>533</v>
      </c>
    </row>
    <row r="42" ht="12.75">
      <c r="A42" t="s">
        <v>534</v>
      </c>
    </row>
  </sheetData>
  <sheetProtection/>
  <mergeCells count="28">
    <mergeCell ref="A29:A30"/>
    <mergeCell ref="B29:B30"/>
    <mergeCell ref="B20:B21"/>
    <mergeCell ref="B22:B23"/>
    <mergeCell ref="A24:A25"/>
    <mergeCell ref="B24:B25"/>
    <mergeCell ref="A26:A27"/>
    <mergeCell ref="B26:B27"/>
    <mergeCell ref="B12:B13"/>
    <mergeCell ref="D12:D13"/>
    <mergeCell ref="A14:A15"/>
    <mergeCell ref="B14:B15"/>
    <mergeCell ref="B16:B17"/>
    <mergeCell ref="B18:B19"/>
    <mergeCell ref="B6:B7"/>
    <mergeCell ref="D6:D7"/>
    <mergeCell ref="A8:A9"/>
    <mergeCell ref="B8:B9"/>
    <mergeCell ref="D8:D9"/>
    <mergeCell ref="B10:B11"/>
    <mergeCell ref="D10:D11"/>
    <mergeCell ref="A1:D1"/>
    <mergeCell ref="A2:D2"/>
    <mergeCell ref="A3:B3"/>
    <mergeCell ref="C3:D3"/>
    <mergeCell ref="A4:A5"/>
    <mergeCell ref="B4:B5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2.57421875" style="0" customWidth="1"/>
    <col min="2" max="2" width="27.7109375" style="0" customWidth="1"/>
    <col min="3" max="3" width="49.7109375" style="0" customWidth="1"/>
    <col min="4" max="4" width="20.00390625" style="0" customWidth="1"/>
    <col min="5" max="5" width="9.8515625" style="0" bestFit="1" customWidth="1"/>
  </cols>
  <sheetData>
    <row r="1" spans="1:4" ht="15.75">
      <c r="A1" s="88" t="s">
        <v>401</v>
      </c>
      <c r="B1" s="89"/>
      <c r="C1" s="89"/>
      <c r="D1" s="90"/>
    </row>
    <row r="2" spans="1:4" ht="16.5" thickBot="1">
      <c r="A2" s="91" t="s">
        <v>544</v>
      </c>
      <c r="B2" s="92"/>
      <c r="C2" s="92"/>
      <c r="D2" s="93"/>
    </row>
    <row r="3" spans="1:4" ht="15.75" thickBot="1">
      <c r="A3" s="94" t="s">
        <v>403</v>
      </c>
      <c r="B3" s="95"/>
      <c r="C3" s="94" t="s">
        <v>404</v>
      </c>
      <c r="D3" s="95"/>
    </row>
    <row r="4" spans="1:4" ht="12.75">
      <c r="A4" s="82" t="s">
        <v>461</v>
      </c>
      <c r="B4" s="84">
        <f>+balancete!L6</f>
        <v>33091.46</v>
      </c>
      <c r="C4" s="43" t="s">
        <v>406</v>
      </c>
      <c r="D4" s="86">
        <f>+balancete!L82</f>
        <v>7835.25</v>
      </c>
    </row>
    <row r="5" spans="1:4" ht="24.75" thickBot="1">
      <c r="A5" s="83"/>
      <c r="B5" s="85"/>
      <c r="C5" s="46" t="s">
        <v>539</v>
      </c>
      <c r="D5" s="87"/>
    </row>
    <row r="6" spans="1:4" ht="12.75">
      <c r="A6" s="48" t="s">
        <v>523</v>
      </c>
      <c r="B6" s="84">
        <f>+balancete!L12</f>
        <v>12680</v>
      </c>
      <c r="C6" s="43" t="s">
        <v>409</v>
      </c>
      <c r="D6" s="86">
        <f>+balancete!L93</f>
        <v>1601.12</v>
      </c>
    </row>
    <row r="7" spans="1:4" ht="13.5" thickBot="1">
      <c r="A7" s="45"/>
      <c r="B7" s="85"/>
      <c r="C7" s="46" t="s">
        <v>524</v>
      </c>
      <c r="D7" s="87"/>
    </row>
    <row r="8" spans="1:4" ht="12.75">
      <c r="A8" s="82" t="s">
        <v>535</v>
      </c>
      <c r="B8" s="84">
        <f>+balancete!L18</f>
        <v>24265.31</v>
      </c>
      <c r="C8" s="43" t="s">
        <v>413</v>
      </c>
      <c r="D8" s="86">
        <f>+balancete!L99</f>
        <v>13499.57</v>
      </c>
    </row>
    <row r="9" spans="1:4" ht="13.5" thickBot="1">
      <c r="A9" s="83"/>
      <c r="B9" s="85"/>
      <c r="C9" s="46" t="s">
        <v>414</v>
      </c>
      <c r="D9" s="87"/>
    </row>
    <row r="10" spans="1:5" ht="12.75">
      <c r="A10" s="48" t="s">
        <v>462</v>
      </c>
      <c r="B10" s="84">
        <f>+balancete!L23</f>
        <v>12637.02</v>
      </c>
      <c r="C10" s="43" t="s">
        <v>416</v>
      </c>
      <c r="D10" s="86">
        <f>+balancete!L105</f>
        <v>77881.81999999999</v>
      </c>
      <c r="E10" s="73"/>
    </row>
    <row r="11" spans="1:4" ht="13.5" thickBot="1">
      <c r="A11" s="45" t="s">
        <v>417</v>
      </c>
      <c r="B11" s="85"/>
      <c r="C11" s="46" t="s">
        <v>418</v>
      </c>
      <c r="D11" s="87"/>
    </row>
    <row r="12" spans="1:4" ht="12.75">
      <c r="A12" s="48" t="s">
        <v>419</v>
      </c>
      <c r="B12" s="84">
        <f>+balancete!L30</f>
        <v>20185</v>
      </c>
      <c r="C12" s="43" t="s">
        <v>420</v>
      </c>
      <c r="D12" s="104">
        <f>+balancete!L125</f>
        <v>3471.27</v>
      </c>
    </row>
    <row r="13" spans="1:4" ht="24.75" thickBot="1">
      <c r="A13" s="45" t="s">
        <v>421</v>
      </c>
      <c r="B13" s="85"/>
      <c r="C13" s="46" t="s">
        <v>467</v>
      </c>
      <c r="D13" s="105"/>
    </row>
    <row r="14" spans="1:4" ht="12.75">
      <c r="A14" s="82" t="s">
        <v>486</v>
      </c>
      <c r="B14" s="84">
        <f>+balancete!L34</f>
        <v>494.24</v>
      </c>
      <c r="C14" s="42" t="s">
        <v>424</v>
      </c>
      <c r="D14" s="60"/>
    </row>
    <row r="15" spans="1:4" ht="24.75" thickBot="1">
      <c r="A15" s="83"/>
      <c r="B15" s="85"/>
      <c r="C15" s="45" t="s">
        <v>553</v>
      </c>
      <c r="D15" s="61">
        <f>+balancete!L132</f>
        <v>5765</v>
      </c>
    </row>
    <row r="16" spans="1:4" ht="12.75">
      <c r="A16" s="48" t="s">
        <v>420</v>
      </c>
      <c r="B16" s="84">
        <f>+balancete!L49</f>
        <v>11121.5</v>
      </c>
      <c r="C16" s="43" t="s">
        <v>426</v>
      </c>
      <c r="D16" s="58">
        <f>+balancete!L155</f>
        <v>2086.51</v>
      </c>
    </row>
    <row r="17" spans="1:4" ht="24.75" thickBot="1">
      <c r="A17" s="45" t="s">
        <v>460</v>
      </c>
      <c r="B17" s="85"/>
      <c r="C17" s="46" t="s">
        <v>540</v>
      </c>
      <c r="D17" s="59"/>
    </row>
    <row r="18" spans="1:4" ht="12.75">
      <c r="A18" s="48" t="s">
        <v>485</v>
      </c>
      <c r="B18" s="84">
        <f>+balancete!L54</f>
        <v>2356.87</v>
      </c>
      <c r="C18" s="43" t="s">
        <v>430</v>
      </c>
      <c r="D18" s="58">
        <f>+balancete!L160</f>
        <v>22444.560000000005</v>
      </c>
    </row>
    <row r="19" spans="1:4" ht="36.75" thickBot="1">
      <c r="A19" s="45"/>
      <c r="B19" s="85"/>
      <c r="C19" s="46" t="s">
        <v>543</v>
      </c>
      <c r="D19" s="59"/>
    </row>
    <row r="20" spans="1:4" ht="12.75">
      <c r="A20" s="48" t="s">
        <v>432</v>
      </c>
      <c r="B20" s="84">
        <f>+balancete!L60</f>
        <v>25520.269999999997</v>
      </c>
      <c r="C20" s="43" t="s">
        <v>433</v>
      </c>
      <c r="D20" s="58">
        <f>+balancete!L173</f>
        <v>13042.36</v>
      </c>
    </row>
    <row r="21" spans="1:4" ht="24.75" thickBot="1">
      <c r="A21" s="45" t="s">
        <v>536</v>
      </c>
      <c r="B21" s="85"/>
      <c r="C21" s="46" t="s">
        <v>541</v>
      </c>
      <c r="D21" s="59"/>
    </row>
    <row r="22" spans="1:4" ht="12.75">
      <c r="A22" s="48" t="s">
        <v>436</v>
      </c>
      <c r="B22" s="84">
        <f>+balancete!L66++balancete!L77-B24</f>
        <v>22554.86</v>
      </c>
      <c r="C22" s="43" t="s">
        <v>437</v>
      </c>
      <c r="D22" s="58">
        <f>+balancete!L192</f>
        <v>877.09</v>
      </c>
    </row>
    <row r="23" spans="1:4" ht="24.75" thickBot="1">
      <c r="A23" s="45" t="s">
        <v>542</v>
      </c>
      <c r="B23" s="85"/>
      <c r="C23" s="46" t="s">
        <v>472</v>
      </c>
      <c r="D23" s="59"/>
    </row>
    <row r="24" spans="1:4" ht="24">
      <c r="A24" s="82" t="s">
        <v>538</v>
      </c>
      <c r="B24" s="84">
        <f>+balancete!L73</f>
        <v>9157</v>
      </c>
      <c r="C24" s="43" t="s">
        <v>473</v>
      </c>
      <c r="D24" s="58">
        <f>+balancete!L198+balancete!L199+balancete!L200+balancete!L201+balancete!L206+balancete!L180+balancete!L189</f>
        <v>2419.4800000000005</v>
      </c>
    </row>
    <row r="25" spans="1:4" ht="13.5" thickBot="1">
      <c r="A25" s="83"/>
      <c r="B25" s="85"/>
      <c r="C25" s="46"/>
      <c r="D25" s="59"/>
    </row>
    <row r="26" spans="1:4" ht="12.75">
      <c r="A26" s="102" t="s">
        <v>549</v>
      </c>
      <c r="B26" s="84">
        <f>SUM(B4:B25)</f>
        <v>174063.53000000003</v>
      </c>
      <c r="C26" s="43"/>
      <c r="D26" s="58"/>
    </row>
    <row r="27" spans="1:4" ht="13.5" thickBot="1">
      <c r="A27" s="103"/>
      <c r="B27" s="85"/>
      <c r="C27" s="46" t="s">
        <v>537</v>
      </c>
      <c r="D27" s="59">
        <f>+balancete!L205</f>
        <v>3745.04</v>
      </c>
    </row>
    <row r="28" spans="1:4" ht="13.5" thickBot="1">
      <c r="A28" s="51" t="s">
        <v>445</v>
      </c>
      <c r="B28" s="62">
        <f>+balancete!L80+balancete!L79</f>
        <v>27822.24</v>
      </c>
      <c r="C28" s="52" t="s">
        <v>550</v>
      </c>
      <c r="D28" s="53">
        <f>SUM(D4:D27)</f>
        <v>154669.07000000004</v>
      </c>
    </row>
    <row r="29" spans="1:4" ht="13.5" thickBot="1">
      <c r="A29" s="98"/>
      <c r="B29" s="100"/>
      <c r="C29" s="54" t="s">
        <v>552</v>
      </c>
      <c r="D29" s="50">
        <f>+B26-D28</f>
        <v>19394.459999999992</v>
      </c>
    </row>
    <row r="30" spans="1:4" ht="13.5" thickBot="1">
      <c r="A30" s="99"/>
      <c r="B30" s="101"/>
      <c r="C30" s="54" t="s">
        <v>551</v>
      </c>
      <c r="D30" s="50">
        <f>+B28+B29+B26-D28</f>
        <v>47216.69999999998</v>
      </c>
    </row>
    <row r="32" ht="12.75">
      <c r="A32" t="s">
        <v>525</v>
      </c>
    </row>
    <row r="33" ht="12.75">
      <c r="A33" t="s">
        <v>529</v>
      </c>
    </row>
    <row r="34" spans="1:5" ht="12.75">
      <c r="A34" t="s">
        <v>530</v>
      </c>
      <c r="C34" s="75"/>
      <c r="D34" s="74"/>
      <c r="E34" s="74"/>
    </row>
    <row r="35" ht="12.75">
      <c r="A35" t="s">
        <v>527</v>
      </c>
    </row>
    <row r="36" ht="12.75">
      <c r="A36" t="s">
        <v>528</v>
      </c>
    </row>
    <row r="37" spans="1:4" ht="12.75">
      <c r="A37" t="s">
        <v>531</v>
      </c>
      <c r="D37" s="74"/>
    </row>
    <row r="38" ht="12.75">
      <c r="A38" t="s">
        <v>532</v>
      </c>
    </row>
    <row r="40" ht="12.75">
      <c r="A40" t="s">
        <v>526</v>
      </c>
    </row>
    <row r="41" ht="12.75">
      <c r="A41" t="s">
        <v>533</v>
      </c>
    </row>
    <row r="42" ht="12.75">
      <c r="A42" t="s">
        <v>534</v>
      </c>
    </row>
  </sheetData>
  <sheetProtection/>
  <mergeCells count="28">
    <mergeCell ref="A1:D1"/>
    <mergeCell ref="A2:D2"/>
    <mergeCell ref="A3:B3"/>
    <mergeCell ref="C3:D3"/>
    <mergeCell ref="A4:A5"/>
    <mergeCell ref="B4:B5"/>
    <mergeCell ref="D4:D5"/>
    <mergeCell ref="B6:B7"/>
    <mergeCell ref="D6:D7"/>
    <mergeCell ref="A8:A9"/>
    <mergeCell ref="B8:B9"/>
    <mergeCell ref="D8:D9"/>
    <mergeCell ref="B10:B11"/>
    <mergeCell ref="D10:D11"/>
    <mergeCell ref="B12:B13"/>
    <mergeCell ref="D12:D13"/>
    <mergeCell ref="A14:A15"/>
    <mergeCell ref="B14:B15"/>
    <mergeCell ref="B16:B17"/>
    <mergeCell ref="B18:B19"/>
    <mergeCell ref="A29:A30"/>
    <mergeCell ref="B29:B30"/>
    <mergeCell ref="B20:B21"/>
    <mergeCell ref="B22:B23"/>
    <mergeCell ref="A24:A25"/>
    <mergeCell ref="B24:B25"/>
    <mergeCell ref="A26:A27"/>
    <mergeCell ref="B26:B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4">
      <selection activeCell="E43" sqref="E43"/>
    </sheetView>
  </sheetViews>
  <sheetFormatPr defaultColWidth="9.140625" defaultRowHeight="12.75"/>
  <cols>
    <col min="1" max="1" width="52.57421875" style="0" customWidth="1"/>
    <col min="2" max="2" width="27.7109375" style="0" customWidth="1"/>
    <col min="3" max="3" width="49.7109375" style="0" customWidth="1"/>
    <col min="4" max="4" width="20.00390625" style="0" customWidth="1"/>
    <col min="5" max="5" width="9.8515625" style="0" bestFit="1" customWidth="1"/>
  </cols>
  <sheetData>
    <row r="1" spans="1:4" ht="15.75">
      <c r="A1" s="88" t="s">
        <v>401</v>
      </c>
      <c r="B1" s="89"/>
      <c r="C1" s="89"/>
      <c r="D1" s="90"/>
    </row>
    <row r="2" spans="1:4" ht="16.5" thickBot="1">
      <c r="A2" s="91" t="s">
        <v>557</v>
      </c>
      <c r="B2" s="92"/>
      <c r="C2" s="92"/>
      <c r="D2" s="93"/>
    </row>
    <row r="3" spans="1:4" ht="15.75" thickBot="1">
      <c r="A3" s="94" t="s">
        <v>403</v>
      </c>
      <c r="B3" s="95"/>
      <c r="C3" s="94" t="s">
        <v>404</v>
      </c>
      <c r="D3" s="95"/>
    </row>
    <row r="4" spans="1:4" ht="12.75">
      <c r="A4" s="82" t="s">
        <v>461</v>
      </c>
      <c r="B4" s="84">
        <f>+balancete!H6</f>
        <v>35745</v>
      </c>
      <c r="C4" s="43" t="s">
        <v>406</v>
      </c>
      <c r="D4" s="86">
        <f>+balancete!H82</f>
        <v>8108.49</v>
      </c>
    </row>
    <row r="5" spans="1:4" ht="24.75" thickBot="1">
      <c r="A5" s="83"/>
      <c r="B5" s="85"/>
      <c r="C5" s="46" t="s">
        <v>539</v>
      </c>
      <c r="D5" s="87"/>
    </row>
    <row r="6" spans="1:4" ht="12.75">
      <c r="A6" s="48" t="s">
        <v>523</v>
      </c>
      <c r="B6" s="84">
        <f>+balancete!H12</f>
        <v>13775</v>
      </c>
      <c r="C6" s="43" t="s">
        <v>409</v>
      </c>
      <c r="D6" s="86">
        <f>+balancete!H93</f>
        <v>3488.8599999999997</v>
      </c>
    </row>
    <row r="7" spans="1:4" ht="13.5" thickBot="1">
      <c r="A7" s="45"/>
      <c r="B7" s="85"/>
      <c r="C7" s="46" t="s">
        <v>524</v>
      </c>
      <c r="D7" s="87"/>
    </row>
    <row r="8" spans="1:4" ht="12.75">
      <c r="A8" s="82" t="s">
        <v>535</v>
      </c>
      <c r="B8" s="84">
        <f>+balancete!H18</f>
        <v>35043.61</v>
      </c>
      <c r="C8" s="43" t="s">
        <v>413</v>
      </c>
      <c r="D8" s="86">
        <f>+balancete!H99</f>
        <v>14543.23</v>
      </c>
    </row>
    <row r="9" spans="1:4" ht="24.75" thickBot="1">
      <c r="A9" s="83"/>
      <c r="B9" s="85"/>
      <c r="C9" s="46" t="s">
        <v>568</v>
      </c>
      <c r="D9" s="87"/>
    </row>
    <row r="10" spans="1:5" ht="12.75">
      <c r="A10" s="48" t="s">
        <v>462</v>
      </c>
      <c r="B10" s="84">
        <f>+balancete!H23</f>
        <v>11880.02</v>
      </c>
      <c r="C10" s="43" t="s">
        <v>416</v>
      </c>
      <c r="D10" s="86">
        <f>+balancete!H105</f>
        <v>82136.53</v>
      </c>
      <c r="E10" s="73"/>
    </row>
    <row r="11" spans="1:4" ht="13.5" thickBot="1">
      <c r="A11" s="45" t="s">
        <v>417</v>
      </c>
      <c r="B11" s="85"/>
      <c r="C11" s="46" t="s">
        <v>418</v>
      </c>
      <c r="D11" s="87"/>
    </row>
    <row r="12" spans="1:4" ht="12.75">
      <c r="A12" s="48" t="s">
        <v>419</v>
      </c>
      <c r="B12" s="84">
        <f>+balancete!H30</f>
        <v>23155</v>
      </c>
      <c r="C12" s="43" t="s">
        <v>420</v>
      </c>
      <c r="D12" s="104">
        <f>+balancete!H125</f>
        <v>3674.53</v>
      </c>
    </row>
    <row r="13" spans="1:4" ht="24.75" thickBot="1">
      <c r="A13" s="45" t="s">
        <v>421</v>
      </c>
      <c r="B13" s="85"/>
      <c r="C13" s="46" t="s">
        <v>467</v>
      </c>
      <c r="D13" s="105"/>
    </row>
    <row r="14" spans="1:4" ht="12.75">
      <c r="A14" s="82" t="s">
        <v>486</v>
      </c>
      <c r="B14" s="84">
        <f>+balancete!H34</f>
        <v>1441.42</v>
      </c>
      <c r="C14" s="42" t="s">
        <v>424</v>
      </c>
      <c r="D14" s="60"/>
    </row>
    <row r="15" spans="1:4" ht="24.75" thickBot="1">
      <c r="A15" s="83"/>
      <c r="B15" s="85"/>
      <c r="C15" s="45" t="s">
        <v>569</v>
      </c>
      <c r="D15" s="61">
        <f>+balancete!H132</f>
        <v>5846</v>
      </c>
    </row>
    <row r="16" spans="1:4" ht="12.75">
      <c r="A16" s="48" t="s">
        <v>420</v>
      </c>
      <c r="B16" s="84">
        <f>+balancete!H49</f>
        <v>13427</v>
      </c>
      <c r="C16" s="43" t="s">
        <v>426</v>
      </c>
      <c r="D16" s="58">
        <f>+balancete!H155</f>
        <v>18554.17</v>
      </c>
    </row>
    <row r="17" spans="1:4" ht="24.75" thickBot="1">
      <c r="A17" s="45" t="s">
        <v>460</v>
      </c>
      <c r="B17" s="85"/>
      <c r="C17" s="46" t="s">
        <v>570</v>
      </c>
      <c r="D17" s="59"/>
    </row>
    <row r="18" spans="1:4" ht="12.75">
      <c r="A18" s="48" t="s">
        <v>485</v>
      </c>
      <c r="B18" s="84">
        <f>+balancete!H54</f>
        <v>2106.17</v>
      </c>
      <c r="C18" s="43" t="s">
        <v>430</v>
      </c>
      <c r="D18" s="58">
        <f>+balancete!H160</f>
        <v>20507.079999999998</v>
      </c>
    </row>
    <row r="19" spans="1:4" ht="36.75" thickBot="1">
      <c r="A19" s="45"/>
      <c r="B19" s="85"/>
      <c r="C19" s="46" t="s">
        <v>571</v>
      </c>
      <c r="D19" s="59"/>
    </row>
    <row r="20" spans="1:4" ht="12.75">
      <c r="A20" s="48" t="s">
        <v>432</v>
      </c>
      <c r="B20" s="84">
        <f>+balancete!H60</f>
        <v>8325.18</v>
      </c>
      <c r="C20" s="43" t="s">
        <v>433</v>
      </c>
      <c r="D20" s="58">
        <f>+balancete!H173</f>
        <v>10195.18</v>
      </c>
    </row>
    <row r="21" spans="1:4" ht="24.75" thickBot="1">
      <c r="A21" s="45" t="s">
        <v>536</v>
      </c>
      <c r="B21" s="85"/>
      <c r="C21" s="46" t="s">
        <v>572</v>
      </c>
      <c r="D21" s="59"/>
    </row>
    <row r="22" spans="1:4" ht="12.75">
      <c r="A22" s="48" t="s">
        <v>436</v>
      </c>
      <c r="B22" s="84">
        <f>+balancete!H66++balancete!H77-B24</f>
        <v>26478.640000000003</v>
      </c>
      <c r="C22" s="43" t="s">
        <v>437</v>
      </c>
      <c r="D22" s="58">
        <f>+balancete!H192</f>
        <v>773.9300000000001</v>
      </c>
    </row>
    <row r="23" spans="1:4" ht="24.75" thickBot="1">
      <c r="A23" s="45" t="s">
        <v>567</v>
      </c>
      <c r="B23" s="85"/>
      <c r="C23" s="46" t="s">
        <v>472</v>
      </c>
      <c r="D23" s="59"/>
    </row>
    <row r="24" spans="1:4" ht="24">
      <c r="A24" s="82" t="s">
        <v>538</v>
      </c>
      <c r="B24" s="84">
        <f>+balancete!H73+balancete!H72</f>
        <v>8307.060000000001</v>
      </c>
      <c r="C24" s="43" t="s">
        <v>473</v>
      </c>
      <c r="D24" s="58">
        <f>+balancete!H198+balancete!H199+balancete!H200+balancete!H201+balancete!H206+balancete!H180+balancete!H189</f>
        <v>6149.050000000001</v>
      </c>
    </row>
    <row r="25" spans="1:4" ht="13.5" thickBot="1">
      <c r="A25" s="83"/>
      <c r="B25" s="85"/>
      <c r="C25" s="46"/>
      <c r="D25" s="59"/>
    </row>
    <row r="26" spans="1:4" ht="12.75">
      <c r="A26" s="102" t="s">
        <v>558</v>
      </c>
      <c r="B26" s="84">
        <f>SUM(B4:B25)</f>
        <v>179684.1</v>
      </c>
      <c r="C26" s="43"/>
      <c r="D26" s="58"/>
    </row>
    <row r="27" spans="1:4" ht="13.5" thickBot="1">
      <c r="A27" s="103"/>
      <c r="B27" s="85"/>
      <c r="C27" s="46" t="s">
        <v>537</v>
      </c>
      <c r="D27" s="59">
        <f>+balancete!H205</f>
        <v>3475.2</v>
      </c>
    </row>
    <row r="28" spans="1:4" ht="13.5" thickBot="1">
      <c r="A28" s="51" t="s">
        <v>445</v>
      </c>
      <c r="B28" s="62">
        <f>+balancete!H80+balancete!H79</f>
        <v>47216.7</v>
      </c>
      <c r="C28" s="52" t="s">
        <v>559</v>
      </c>
      <c r="D28" s="53">
        <f>SUM(D4:D27)</f>
        <v>177452.24999999997</v>
      </c>
    </row>
    <row r="29" spans="1:4" ht="13.5" thickBot="1">
      <c r="A29" s="98"/>
      <c r="B29" s="100"/>
      <c r="C29" s="54" t="s">
        <v>560</v>
      </c>
      <c r="D29" s="50">
        <f>+B26-D28</f>
        <v>2231.850000000035</v>
      </c>
    </row>
    <row r="30" spans="1:4" ht="13.5" thickBot="1">
      <c r="A30" s="99"/>
      <c r="B30" s="101"/>
      <c r="C30" s="54" t="s">
        <v>561</v>
      </c>
      <c r="D30" s="50">
        <f>+B28+B29+B26-D28</f>
        <v>49448.55000000002</v>
      </c>
    </row>
    <row r="31" ht="12.75">
      <c r="B31" s="74"/>
    </row>
    <row r="34" spans="3:5" ht="12.75">
      <c r="C34" s="75"/>
      <c r="D34" s="74"/>
      <c r="E34" s="74"/>
    </row>
    <row r="37" ht="12.75">
      <c r="D37" s="74"/>
    </row>
  </sheetData>
  <sheetProtection/>
  <mergeCells count="28">
    <mergeCell ref="A29:A30"/>
    <mergeCell ref="B29:B30"/>
    <mergeCell ref="B20:B21"/>
    <mergeCell ref="B22:B23"/>
    <mergeCell ref="A24:A25"/>
    <mergeCell ref="B24:B25"/>
    <mergeCell ref="A26:A27"/>
    <mergeCell ref="B26:B27"/>
    <mergeCell ref="B12:B13"/>
    <mergeCell ref="D12:D13"/>
    <mergeCell ref="A14:A15"/>
    <mergeCell ref="B14:B15"/>
    <mergeCell ref="B16:B17"/>
    <mergeCell ref="B18:B19"/>
    <mergeCell ref="B6:B7"/>
    <mergeCell ref="D6:D7"/>
    <mergeCell ref="A8:A9"/>
    <mergeCell ref="B8:B9"/>
    <mergeCell ref="D8:D9"/>
    <mergeCell ref="B10:B11"/>
    <mergeCell ref="D10:D11"/>
    <mergeCell ref="A1:D1"/>
    <mergeCell ref="A2:D2"/>
    <mergeCell ref="A3:B3"/>
    <mergeCell ref="C3:D3"/>
    <mergeCell ref="A4:A5"/>
    <mergeCell ref="B4:B5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C10" sqref="B10:C11"/>
    </sheetView>
  </sheetViews>
  <sheetFormatPr defaultColWidth="9.140625" defaultRowHeight="12.75"/>
  <cols>
    <col min="1" max="1" width="21.57421875" style="0" bestFit="1" customWidth="1"/>
    <col min="2" max="2" width="9.140625" style="3" customWidth="1"/>
    <col min="4" max="4" width="17.57421875" style="0" customWidth="1"/>
  </cols>
  <sheetData>
    <row r="2" spans="4:6" ht="12.75">
      <c r="D2" t="s">
        <v>509</v>
      </c>
      <c r="E2" t="s">
        <v>510</v>
      </c>
      <c r="F2" t="s">
        <v>511</v>
      </c>
    </row>
    <row r="3" spans="1:6" ht="12.75">
      <c r="A3" t="s">
        <v>503</v>
      </c>
      <c r="B3" s="3">
        <f>144+185.2+327+225.7+240.7+116.3+408.1+158.9+142.6+128.75+135+15+49+111.7+193.3+298.3+206.26+359.55+152.37+178.75+298.84+378.05+235.6+411.2+244+309.8+268.9+469.4+407.4+238.2+301.8</f>
        <v>7339.67</v>
      </c>
      <c r="D3" s="3">
        <f>B3/$B$5*$B$7</f>
        <v>2021.0682327709894</v>
      </c>
      <c r="E3" s="3">
        <f>+B8</f>
        <v>2762</v>
      </c>
      <c r="F3" s="3">
        <f>+B3-D3-E3</f>
        <v>2556.601767229011</v>
      </c>
    </row>
    <row r="4" spans="1:6" ht="12.75">
      <c r="A4" t="s">
        <v>504</v>
      </c>
      <c r="B4" s="3">
        <f>110.87+58.32+154.75+44.9+118.56+137.27+156.45+137.72+291.55+80.8+176+388.91+180.63+145.1+117.05+120.1+69+181.3+143.5+122.55+95.01+81+20.8+5.1+556.6+140.38+129.5+149.3+149.8+458.31+166.9+376.61+165.95+177.7+269.02+165.1</f>
        <v>6042.41</v>
      </c>
      <c r="D4" s="3">
        <f>B4/$B$5*$B$7</f>
        <v>1663.8517672290109</v>
      </c>
      <c r="F4" s="3">
        <f>+B4-D4-E4</f>
        <v>4378.558232770989</v>
      </c>
    </row>
    <row r="5" spans="2:6" ht="12.75">
      <c r="B5" s="3">
        <f>+B3+B4</f>
        <v>13382.08</v>
      </c>
      <c r="D5" s="3">
        <f>SUM(D3:D4)</f>
        <v>3684.92</v>
      </c>
      <c r="F5" s="3">
        <f>SUM(F3:F4)</f>
        <v>6935.16</v>
      </c>
    </row>
    <row r="7" spans="1:2" ht="12.75">
      <c r="A7" t="s">
        <v>505</v>
      </c>
      <c r="B7" s="3">
        <f>25.53+365.35+34.56+80.31+35.12+249.66+58.82+169.86+96.54+161.52+157.43+74.63+43.44+40+80.07+55.46+62.46+56.98+171.1+338.77+539.88+56.33+148.8+266.09+246.07+70.14</f>
        <v>3684.92</v>
      </c>
    </row>
    <row r="8" spans="1:2" ht="12.75">
      <c r="A8" t="s">
        <v>506</v>
      </c>
      <c r="B8" s="3">
        <f>415+280+212+198+268+296+289+296+310+198</f>
        <v>2762</v>
      </c>
    </row>
    <row r="9" spans="1:2" ht="12.75">
      <c r="A9" t="s">
        <v>507</v>
      </c>
      <c r="B9" s="3">
        <f>+B8+B7</f>
        <v>6446.92</v>
      </c>
    </row>
    <row r="11" spans="1:2" ht="12.75">
      <c r="A11" t="s">
        <v>508</v>
      </c>
      <c r="B11" s="3">
        <f>+B5-B9</f>
        <v>6935.16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Lucilia</dc:creator>
  <cp:keywords/>
  <dc:description/>
  <cp:lastModifiedBy>Paroquia N. Sra. da Hora</cp:lastModifiedBy>
  <cp:lastPrinted>2018-02-12T19:17:53Z</cp:lastPrinted>
  <dcterms:created xsi:type="dcterms:W3CDTF">2011-09-20T18:23:45Z</dcterms:created>
  <dcterms:modified xsi:type="dcterms:W3CDTF">2018-03-02T10:28:32Z</dcterms:modified>
  <cp:category/>
  <cp:version/>
  <cp:contentType/>
  <cp:contentStatus/>
</cp:coreProperties>
</file>